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 sheetId="1" state="visible" r:id="rId2"/>
    <sheet name="no exif" sheetId="2" state="visible" r:id="rId3"/>
    <sheet name="MF" sheetId="3" state="hidden" r:id="rId4"/>
    <sheet name="Sheet13" sheetId="4" state="hidden" r:id="rId5"/>
    <sheet name="Beta" sheetId="5" state="hidden" r:id="rId6"/>
    <sheet name="Kitbuilder" sheetId="6" state="hidden" r:id="rId7"/>
    <sheet name="APS-C" sheetId="7" state="hidden" r:id="rId8"/>
    <sheet name="Olympus OM" sheetId="8" state="hidden" r:id="rId9"/>
  </sheets>
  <definedNames>
    <definedName function="false" hidden="true" localSheetId="0" name="_xlnm._FilterDatabase" vbProcedure="false">All!$O$1:$O$1109</definedName>
    <definedName function="false" hidden="true" localSheetId="6" name="_xlnm._FilterDatabase" vbProcedure="false">'APS-C'!$O$1:$O$1064</definedName>
    <definedName function="false" hidden="true" localSheetId="4" name="_xlnm._FilterDatabase" vbProcedure="false">Beta!$X$3:$X$1076</definedName>
    <definedName function="false" hidden="true" localSheetId="5" name="_xlnm._FilterDatabase" vbProcedure="false">Kitbuilder!$W$1:$W$1066</definedName>
    <definedName function="false" hidden="true" localSheetId="2" name="_xlnm._FilterDatabase" vbProcedure="false">MF!$G$1:$G$1226</definedName>
    <definedName function="false" hidden="true" localSheetId="7" name="_xlnm._FilterDatabase" vbProcedure="false">'Olympus OM'!$L$1:$L$970</definedName>
    <definedName function="false" hidden="false" localSheetId="0" name="Z_18B1C3EB_AC44_40D4_832A_D9A3342F76A9_.wvu.FilterData" vbProcedure="false">All!$A$1:$V$125</definedName>
    <definedName function="false" hidden="false" localSheetId="0" name="Z_57154B42_80B7_4D42_B720_35B77F2B11A9_.wvu.FilterData" vbProcedure="false">All!$A$1:$V$125</definedName>
    <definedName function="false" hidden="false" localSheetId="0" name="Z_A9298D23_6283_4F0A_8952_7145D10E8FB7_.wvu.FilterData" vbProcedure="false">All!$A$1:$V$146</definedName>
    <definedName function="false" hidden="false" localSheetId="0" name="Z_B6D55680_BA88_4835_A1FB_3EBA01AE9AE1_.wvu.FilterData" vbProcedure="false">All!$A$1:$V$125</definedName>
    <definedName function="false" hidden="false" localSheetId="0" name="Z_F2D57FEE_CD1B_41B8_81F9_76D503149B55_.wvu.FilterData" vbProcedure="false">All!$A$1:$V$125</definedName>
    <definedName function="false" hidden="false" localSheetId="7" name="Z_57154B42_80B7_4D42_B720_35B77F2B11A9_.wvu.FilterData" vbProcedure="false">'Olympus OM'!$A$1:$O$2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<sst xmlns="http://schemas.openxmlformats.org/spreadsheetml/2006/main" count="3184" uniqueCount="305">
  <si>
    <t xml:space="preserve">Lens</t>
  </si>
  <si>
    <t xml:space="preserve">Weight</t>
  </si>
  <si>
    <t xml:space="preserve">Focal
Length
(wide)</t>
  </si>
  <si>
    <t xml:space="preserve">Speed</t>
  </si>
  <si>
    <t xml:space="preserve">Diameter</t>
  </si>
  <si>
    <t xml:space="preserve">Length</t>
  </si>
  <si>
    <t xml:space="preserve">Focus</t>
  </si>
  <si>
    <t xml:space="preserve">Front Filter 
Diameter</t>
  </si>
  <si>
    <t xml:space="preserve">Magnification</t>
  </si>
  <si>
    <t xml:space="preserve">Close
Focusing
Distance </t>
  </si>
  <si>
    <t xml:space="preserve">optical 
stabilizer</t>
  </si>
  <si>
    <t xml:space="preserve">Aperture
Blades</t>
  </si>
  <si>
    <t xml:space="preserve">Elements/
Groups</t>
  </si>
  <si>
    <t xml:space="preserve">Manufacturer</t>
  </si>
  <si>
    <t xml:space="preserve">Release Date</t>
  </si>
  <si>
    <t xml:space="preserve">List Price 
(please check 
for actual)</t>
  </si>
  <si>
    <t xml:space="preserve">Used price
 (average 
auction 7/20)</t>
  </si>
  <si>
    <t xml:space="preserve">Amazon.com</t>
  </si>
  <si>
    <t xml:space="preserve">B&amp;H Photo</t>
  </si>
  <si>
    <t xml:space="preserve">Amazon.de</t>
  </si>
  <si>
    <t xml:space="preserve">Ebay.com</t>
  </si>
  <si>
    <t xml:space="preserve">Comment, 
Resources</t>
  </si>
  <si>
    <t xml:space="preserve">Links marked with * are affiliate links. If you use them we earn a small commission on your purchase. </t>
  </si>
  <si>
    <t xml:space="preserve">69mm</t>
  </si>
  <si>
    <t xml:space="preserve">MF</t>
  </si>
  <si>
    <t xml:space="preserve">na</t>
  </si>
  <si>
    <t xml:space="preserve">no</t>
  </si>
  <si>
    <t xml:space="preserve">13/10</t>
  </si>
  <si>
    <t xml:space="preserve">Voigtlander</t>
  </si>
  <si>
    <t xml:space="preserve">Sony G 4/12-24</t>
  </si>
  <si>
    <t xml:space="preserve">AF</t>
  </si>
  <si>
    <t xml:space="preserve">17/13</t>
  </si>
  <si>
    <t xml:space="preserve">Sony</t>
  </si>
  <si>
    <t xml:space="preserve">link*</t>
  </si>
  <si>
    <t xml:space="preserve">Sony FE 12-24mm F2.8 GM</t>
  </si>
  <si>
    <t xml:space="preserve">17/14</t>
  </si>
  <si>
    <t xml:space="preserve">/</t>
  </si>
  <si>
    <t xml:space="preserve">rear filter</t>
  </si>
  <si>
    <t xml:space="preserve">12/10</t>
  </si>
  <si>
    <t xml:space="preserve">discontinued</t>
  </si>
  <si>
    <t xml:space="preserve">Sony FE 14mm F1.8 GM</t>
  </si>
  <si>
    <t xml:space="preserve">14mm</t>
  </si>
  <si>
    <t xml:space="preserve">Sigma Art 1.8/14</t>
  </si>
  <si>
    <t xml:space="preserve">Sigma</t>
  </si>
  <si>
    <t xml:space="preserve">Sigma Art 2.8/14-24</t>
  </si>
  <si>
    <t xml:space="preserve">18/13</t>
  </si>
  <si>
    <t xml:space="preserve">Samyang 2.8/14 AF</t>
  </si>
  <si>
    <t xml:space="preserve">Samyang</t>
  </si>
  <si>
    <t xml:space="preserve">58mm</t>
  </si>
  <si>
    <t xml:space="preserve">72mm</t>
  </si>
  <si>
    <t xml:space="preserve">yes</t>
  </si>
  <si>
    <t xml:space="preserve">Sony GM 2.8/16-35</t>
  </si>
  <si>
    <t xml:space="preserve">82mm</t>
  </si>
  <si>
    <t xml:space="preserve">16/13</t>
  </si>
  <si>
    <t xml:space="preserve">67mm</t>
  </si>
  <si>
    <t xml:space="preserve">13/11</t>
  </si>
  <si>
    <t xml:space="preserve">Tamron</t>
  </si>
  <si>
    <t xml:space="preserve">77mm</t>
  </si>
  <si>
    <t xml:space="preserve">11/10</t>
  </si>
  <si>
    <t xml:space="preserve">Zeiss</t>
  </si>
  <si>
    <t xml:space="preserve">Samyang AF 2.8/18</t>
  </si>
  <si>
    <t xml:space="preserve">9/8</t>
  </si>
  <si>
    <t xml:space="preserve">Sigma Art 1.4/20</t>
  </si>
  <si>
    <t xml:space="preserve">Viltrox RBMH 20mm F1.8 ASPH</t>
  </si>
  <si>
    <t xml:space="preserve">Viltrox</t>
  </si>
  <si>
    <t xml:space="preserve">Sony FE 20mm F1.8 G</t>
  </si>
  <si>
    <t xml:space="preserve">14/12</t>
  </si>
  <si>
    <t xml:space="preserve">62mm</t>
  </si>
  <si>
    <t xml:space="preserve">Tokina</t>
  </si>
  <si>
    <t xml:space="preserve">Tokina Firin 2/20 AF</t>
  </si>
  <si>
    <t xml:space="preserve">Tamron 20mm f/2.8 Di III OSD M1:2</t>
  </si>
  <si>
    <t xml:space="preserve">10/9</t>
  </si>
  <si>
    <t xml:space="preserve">Zeiss Loxia 2.8/21 Distagon T*</t>
  </si>
  <si>
    <t xml:space="preserve">52mm</t>
  </si>
  <si>
    <t xml:space="preserve">11/9</t>
  </si>
  <si>
    <t xml:space="preserve">Sigma Art 1.4/24</t>
  </si>
  <si>
    <t xml:space="preserve">Samyang AF 24/1.8 FE</t>
  </si>
  <si>
    <t xml:space="preserve">Viltrox 24mm F1.8 FE </t>
  </si>
  <si>
    <t xml:space="preserve">55mm</t>
  </si>
  <si>
    <t xml:space="preserve">Sigma 24mm f/2 DG DN Contemporary</t>
  </si>
  <si>
    <t xml:space="preserve">49mm</t>
  </si>
  <si>
    <t xml:space="preserve">7/7</t>
  </si>
  <si>
    <t xml:space="preserve">Sigma 2.8/24-70</t>
  </si>
  <si>
    <t xml:space="preserve">19/15</t>
  </si>
  <si>
    <t xml:space="preserve">$1099</t>
  </si>
  <si>
    <t xml:space="preserve">Sony G 2.8/24</t>
  </si>
  <si>
    <t xml:space="preserve">8/7</t>
  </si>
  <si>
    <t xml:space="preserve">Sigma 24mm f/3.5 DG DN Contemporary</t>
  </si>
  <si>
    <t xml:space="preserve">11cm</t>
  </si>
  <si>
    <t xml:space="preserve">Sony 3.5-6.3/24-240 OSS</t>
  </si>
  <si>
    <t xml:space="preserve">f/3.5-6.3</t>
  </si>
  <si>
    <t xml:space="preserve">17/12</t>
  </si>
  <si>
    <t xml:space="preserve">Sony 4/24-105 G OSS</t>
  </si>
  <si>
    <t xml:space="preserve">10/8</t>
  </si>
  <si>
    <t xml:space="preserve">Sigma ART 1.4/28</t>
  </si>
  <si>
    <t xml:space="preserve">15/12</t>
  </si>
  <si>
    <t xml:space="preserve">Tamron 28-200 mm 2.8-5.6 Di III RXD</t>
  </si>
  <si>
    <t xml:space="preserve">18/14</t>
  </si>
  <si>
    <t xml:space="preserve">Sigma  28-70mm f/2.8 DG DN Contemporary</t>
  </si>
  <si>
    <t xml:space="preserve">16/12</t>
  </si>
  <si>
    <t xml:space="preserve">Tamron 28-75mm f/2.8 Di III VXD G2</t>
  </si>
  <si>
    <t xml:space="preserve">17/15</t>
  </si>
  <si>
    <t xml:space="preserve">Sony 3.5-5.6/28-70 OSS</t>
  </si>
  <si>
    <t xml:space="preserve">f/3.5-5.6</t>
  </si>
  <si>
    <t xml:space="preserve">Sony PZ 28-135mm f/4 G OSS</t>
  </si>
  <si>
    <t xml:space="preserve">95mm</t>
  </si>
  <si>
    <t xml:space="preserve">18/12</t>
  </si>
  <si>
    <t xml:space="preserve">Video lens not well suited for photography</t>
  </si>
  <si>
    <t xml:space="preserve">Sony FE 4-5.6/28-60</t>
  </si>
  <si>
    <t xml:space="preserve">f/4-0-5.6</t>
  </si>
  <si>
    <t xml:space="preserve">40.5mm</t>
  </si>
  <si>
    <t xml:space="preserve">$280</t>
  </si>
  <si>
    <t xml:space="preserve">Voigtländer Nokton 35mm F1.2 Aspherical SE</t>
  </si>
  <si>
    <t xml:space="preserve">Sony FE 35mm F1.4 GM</t>
  </si>
  <si>
    <t xml:space="preserve">Sigma 35mm F1.4 DG DN</t>
  </si>
  <si>
    <t xml:space="preserve">only a Nokishita leak so far</t>
  </si>
  <si>
    <t xml:space="preserve">Samyang 35mm f/1.8 AF</t>
  </si>
  <si>
    <t xml:space="preserve">Sigma 35mm f/2 DG DN Contemporary</t>
  </si>
  <si>
    <t xml:space="preserve">27cm</t>
  </si>
  <si>
    <t xml:space="preserve">Voigtländer 35mm F2 APO-Lanthar </t>
  </si>
  <si>
    <t xml:space="preserve">~$1049</t>
  </si>
  <si>
    <t xml:space="preserve">Yongnuo YN35mm f/2.0 DF DSM</t>
  </si>
  <si>
    <t xml:space="preserve">Yongnuo</t>
  </si>
  <si>
    <t xml:space="preserve">Tamron 35-150mm f/2-2.8 Di III VXD</t>
  </si>
  <si>
    <t xml:space="preserve">21/15</t>
  </si>
  <si>
    <t xml:space="preserve">Samyang 2.8/35</t>
  </si>
  <si>
    <t xml:space="preserve">Voigtlander 40mm F1.2 SE Nokton Aspherical</t>
  </si>
  <si>
    <t xml:space="preserve">lighter, more compact version without de-click feature but same optics</t>
  </si>
  <si>
    <t xml:space="preserve">Sony G 2.5/40</t>
  </si>
  <si>
    <t xml:space="preserve">Samyang 45mm F1.8</t>
  </si>
  <si>
    <t xml:space="preserve">Sigma Contemporary 2.8/45</t>
  </si>
  <si>
    <t xml:space="preserve">Sony 50mm f/1.2 GM</t>
  </si>
  <si>
    <t xml:space="preserve">Sony ZA 50mm F1.4</t>
  </si>
  <si>
    <t xml:space="preserve">Sigma Art 1.4/50</t>
  </si>
  <si>
    <t xml:space="preserve">Samyang 50mm F1.4</t>
  </si>
  <si>
    <t xml:space="preserve">Sony G 2.5/50</t>
  </si>
  <si>
    <t xml:space="preserve">Sigma 65mm f/2 DG DN Contemporary</t>
  </si>
  <si>
    <t xml:space="preserve">Sigma Art 2.8/70 Macro</t>
  </si>
  <si>
    <t xml:space="preserve">Sony FE 70-200mm f/2.8 GM OSS </t>
  </si>
  <si>
    <t xml:space="preserve">23/18</t>
  </si>
  <si>
    <t xml:space="preserve">Sony FE 70-200mm f/2.8 GM OSS II</t>
  </si>
  <si>
    <t xml:space="preserve">Tamron 2.8/70-180</t>
  </si>
  <si>
    <t xml:space="preserve">19/14</t>
  </si>
  <si>
    <t xml:space="preserve">Sony 4.5-5.6/70-300 G OSS</t>
  </si>
  <si>
    <t xml:space="preserve">f/4.5-5.6</t>
  </si>
  <si>
    <t xml:space="preserve">Tamron 70-300mm F/4.5-6.3 Di III RXD</t>
  </si>
  <si>
    <t xml:space="preserve">Samyang AF 75mm F1.8 FE</t>
  </si>
  <si>
    <t xml:space="preserve">Sigma 85m f/1.4 DG HSM Art </t>
  </si>
  <si>
    <t xml:space="preserve">86mm</t>
  </si>
  <si>
    <t xml:space="preserve">Samyang 85mm f/1.4 AF</t>
  </si>
  <si>
    <t xml:space="preserve">Sigma 85mm F1.4 DG DN | Art</t>
  </si>
  <si>
    <t xml:space="preserve">Tokina 85mm F1.8 FE ATX-M</t>
  </si>
  <si>
    <t xml:space="preserve">same design as Viltrox 1.8/85</t>
  </si>
  <si>
    <t xml:space="preserve">Viltrox PFU RBMH 85mm f/1.8</t>
  </si>
  <si>
    <t xml:space="preserve">Meike MK-85mm F/1.8</t>
  </si>
  <si>
    <t xml:space="preserve">Meike</t>
  </si>
  <si>
    <t xml:space="preserve">Yongnuo YN85mm f/1.8S DF DSM</t>
  </si>
  <si>
    <t xml:space="preserve">Sigma F2.8 DG DN Contemporary</t>
  </si>
  <si>
    <t xml:space="preserve">STF Element for smooth bokeh. Transmission at f/2.8 is that of an f/5.6 lens.</t>
  </si>
  <si>
    <t xml:space="preserve">Sigma 100-400mm F5-6.3 DG DN Contemporary</t>
  </si>
  <si>
    <t xml:space="preserve">22/16</t>
  </si>
  <si>
    <t xml:space="preserve">Sony GM 4.5-5.6/100-400 OSS</t>
  </si>
  <si>
    <t xml:space="preserve">Sigma Art 1.4/105</t>
  </si>
  <si>
    <t xml:space="preserve">105mm</t>
  </si>
  <si>
    <t xml:space="preserve">Sigma	</t>
  </si>
  <si>
    <t xml:space="preserve">Sigma Art 105mm 1:2.8 DG DN Macro</t>
  </si>
  <si>
    <t xml:space="preserve">Sigma Art 1.8/135</t>
  </si>
  <si>
    <t xml:space="preserve">Zeiss Batis 2.8/135 APO</t>
  </si>
  <si>
    <t xml:space="preserve">Tamron 150-500mm F/5-6.7 Di III VC VXD</t>
  </si>
  <si>
    <t xml:space="preserve">f/5-6.7</t>
  </si>
  <si>
    <t xml:space="preserve">60m</t>
  </si>
  <si>
    <t xml:space="preserve">25/16</t>
  </si>
  <si>
    <t xml:space="preserve">Sony 200-600mm f/5.6-6.3 G OSS</t>
  </si>
  <si>
    <t xml:space="preserve">f/5.6-6.5</t>
  </si>
  <si>
    <t xml:space="preserve">24/17</t>
  </si>
  <si>
    <t xml:space="preserve">Sony 2.8/400 GM OSS</t>
  </si>
  <si>
    <t xml:space="preserve"> na</t>
  </si>
  <si>
    <t xml:space="preserve">23/17</t>
  </si>
  <si>
    <t xml:space="preserve">Sony 4/600 GM OSS</t>
  </si>
  <si>
    <t xml:space="preserve">24/18</t>
  </si>
  <si>
    <t xml:space="preserve">Listed are all fullframe E-mount lenses with electronic contacts for communication with the camera. You find lenses which do not provide exif like the Laowa 2/15 in the "no exif" sheet.</t>
  </si>
  <si>
    <t xml:space="preserve">Total number of lenses:</t>
  </si>
  <si>
    <t xml:space="preserve">Last update: 25/03/21</t>
  </si>
  <si>
    <t xml:space="preserve">Resources</t>
  </si>
  <si>
    <t xml:space="preserve">Our Guide to the best 35mm lenses</t>
  </si>
  <si>
    <t xml:space="preserve">Our Guide to the best 50mm lenses</t>
  </si>
  <si>
    <t xml:space="preserve">Legend</t>
  </si>
  <si>
    <t xml:space="preserve">G: Sony‘s premium line. None really knows what G stands for though there are some claims that it stands for "Gold".</t>
  </si>
  <si>
    <t xml:space="preserve">GM: G Master lenses are Sony‘s top of the line lenses which are built to high standards and use the most advanced technologies.</t>
  </si>
  <si>
    <t xml:space="preserve">ZA: Lenses built by Sony but labeled Zeiss. The extend of the cooperation between Zeiss and Sony isn‘t really transparent but these earlier lenses generally have higher copy to copy variation than GM or Bbatis lenses and some weaknesses like onion rings or easy to scratch hulls.</t>
  </si>
  <si>
    <t xml:space="preserve">OSS: Optical steady shot - These lenses are optically stabilized and the stabilizer can work together with the bodie‘s stabilizer for more effective stabilization.</t>
  </si>
  <si>
    <t xml:space="preserve">Tips on using the list</t>
  </si>
  <si>
    <t xml:space="preserve">Lenses we have reviewed are linked to the review, just click on the lens name.</t>
  </si>
  <si>
    <t xml:space="preserve">Price 
(please check 
for current)</t>
  </si>
  <si>
    <t xml:space="preserve">Links marked with * are affiliate links. If you use them we earn a small commission on your purchase. Thanks for the support :)</t>
  </si>
  <si>
    <t xml:space="preserve">14/10</t>
  </si>
  <si>
    <t xml:space="preserve">Laowa</t>
  </si>
  <si>
    <t xml:space="preserve">no exif</t>
  </si>
  <si>
    <t xml:space="preserve">Laowa  9mm 5.6 FF-RL</t>
  </si>
  <si>
    <t xml:space="preserve">Laowa 11mm 4.5 FF-RL</t>
  </si>
  <si>
    <t xml:space="preserve">TTArtisan 11mm 2.8 Fisheye</t>
  </si>
  <si>
    <t xml:space="preserve">11mm</t>
  </si>
  <si>
    <t xml:space="preserve"> </t>
  </si>
  <si>
    <t xml:space="preserve">Laowa 14mm F4</t>
  </si>
  <si>
    <t xml:space="preserve">Samyang 12mm f/2.8 ED AS NCS Fisheye</t>
  </si>
  <si>
    <t xml:space="preserve">12/8</t>
  </si>
  <si>
    <t xml:space="preserve">Fisheye</t>
  </si>
  <si>
    <t xml:space="preserve">16/10</t>
  </si>
  <si>
    <t xml:space="preserve">12/9</t>
  </si>
  <si>
    <t xml:space="preserve">Crazy WA Macro that also shifts</t>
  </si>
  <si>
    <t xml:space="preserve">Nisi 15mm 4.0 ASPH</t>
  </si>
  <si>
    <t xml:space="preserve">Mitakon Zhongyi 20mm f/2.4 4.5x Super Macro</t>
  </si>
  <si>
    <t xml:space="preserve">Mitakon</t>
  </si>
  <si>
    <t xml:space="preserve">Super Macro with fixed focus distance</t>
  </si>
  <si>
    <t xml:space="preserve">Venus Optics Laowa 24mm f/14</t>
  </si>
  <si>
    <t xml:space="preserve">27/19</t>
  </si>
  <si>
    <t xml:space="preserve">Samyang 24mm f/1.4 ED AS IF UMC</t>
  </si>
  <si>
    <t xml:space="preserve">Kipon Iberit 24mm f/2.4</t>
  </si>
  <si>
    <t xml:space="preserve">Kipon</t>
  </si>
  <si>
    <t xml:space="preserve">Samyang 24mm f/3.5 T/S</t>
  </si>
  <si>
    <t xml:space="preserve">Tilit/Shift Lens</t>
  </si>
  <si>
    <t xml:space="preserve">Venus Optics Laowa 25mm f/2.8 2.5-5x</t>
  </si>
  <si>
    <t xml:space="preserve">dedicated Macro which does not focus to infinity</t>
  </si>
  <si>
    <t xml:space="preserve">Meyer-Optik Gorlitz Lydith 30mm f/3.5</t>
  </si>
  <si>
    <t xml:space="preserve">Meyer-Optik</t>
  </si>
  <si>
    <t xml:space="preserve">SLR Magic</t>
  </si>
  <si>
    <t xml:space="preserve">7artisans</t>
  </si>
  <si>
    <t xml:space="preserve">?/2019</t>
  </si>
  <si>
    <t xml:space="preserve">only teaser images shown so far</t>
  </si>
  <si>
    <t xml:space="preserve">Samyang 35mm f/1.4</t>
  </si>
  <si>
    <t xml:space="preserve">7artisans 35mm f2</t>
  </si>
  <si>
    <t xml:space="preserve">Kipon Iberit 35mm f/2.4</t>
  </si>
  <si>
    <t xml:space="preserve">Lensbaby Burnside 35mm f/2.8</t>
  </si>
  <si>
    <t xml:space="preserve">Lensbaby</t>
  </si>
  <si>
    <t xml:space="preserve">Two separate apertures for bokeh effects.</t>
  </si>
  <si>
    <t xml:space="preserve">Zenit</t>
  </si>
  <si>
    <t xml:space="preserve">Samyang 50mm f/1.4 IF UMC</t>
  </si>
  <si>
    <t xml:space="preserve">Meike 50mm f/1.7</t>
  </si>
  <si>
    <t xml:space="preserve">Kipon Iberit 50mm f/2.4</t>
  </si>
  <si>
    <t xml:space="preserve">Meyer-Optik Gorlitz Trioplan 50mm f/2.9</t>
  </si>
  <si>
    <t xml:space="preserve">Brightin Star 55 mm F1.8</t>
  </si>
  <si>
    <t xml:space="preserve">Brightin Star</t>
  </si>
  <si>
    <t xml:space="preserve">Lensbaby Velvet 56mm f/1.6</t>
  </si>
  <si>
    <t xml:space="preserve">Meyer-Optik Gorlitz Primoplan 58mm f/1.9 II</t>
  </si>
  <si>
    <t xml:space="preserve">nop</t>
  </si>
  <si>
    <t xml:space="preserve">1/20</t>
  </si>
  <si>
    <t xml:space="preserve">Kipon Iberit 75mm f/2.4</t>
  </si>
  <si>
    <t xml:space="preserve">Mitakon Zhongyi 85mm f/1.2 Speedmaster</t>
  </si>
  <si>
    <t xml:space="preserve">Samyang 85mm f/1.4 Asperical IF</t>
  </si>
  <si>
    <t xml:space="preserve">Lensbaby Velvet 85mm f/1.8</t>
  </si>
  <si>
    <t xml:space="preserve">Meike 85mm f/2.8 Macro</t>
  </si>
  <si>
    <t xml:space="preserve">Kipon Iberit 90mm f/2.4</t>
  </si>
  <si>
    <t xml:space="preserve">Meyer-Optik Gorlitz Trioplan 100mm f/2.8</t>
  </si>
  <si>
    <t xml:space="preserve">Samyang 100mm f/2.8 UMC Macro</t>
  </si>
  <si>
    <t xml:space="preserve">11/8</t>
  </si>
  <si>
    <t xml:space="preserve">STF-Element for special bokeh reduces transmission to t/3.2</t>
  </si>
  <si>
    <t xml:space="preserve">11/7</t>
  </si>
  <si>
    <t xml:space="preserve">Listed are all fullframe E-mount lenses without CPU and electronic contacts. You won't get exif information with these.</t>
  </si>
  <si>
    <t xml:space="preserve">Last update: 6/9/19</t>
  </si>
  <si>
    <t xml:space="preserve">To sort the list by speed for example just click on the letter D and select from A-&gt;Z to order the lenses by their speed. </t>
  </si>
  <si>
    <t xml:space="preserve">DSLR design</t>
  </si>
  <si>
    <t xml:space="preserve">Samyang 1.4/35</t>
  </si>
  <si>
    <t xml:space="preserve">Many reports about defective lenses, check Amazon reviews.</t>
  </si>
  <si>
    <t xml:space="preserve">Sony FE 1.8/35</t>
  </si>
  <si>
    <t xml:space="preserve">Automatically stops down to f/2.8 at minimum focus distance and seems to have some AF issues at potrait distance.</t>
  </si>
  <si>
    <t xml:space="preserve">Many reports on AF issues at medium distances.</t>
  </si>
  <si>
    <t xml:space="preserve">Sony GM 2.8/70-200 G OSS</t>
  </si>
  <si>
    <t xml:space="preserve">Viltrox PFU RBMH 85mm f/1.8 STM</t>
  </si>
  <si>
    <t xml:space="preserve">$12999</t>
  </si>
  <si>
    <t xml:space="preserve">Listed are all fullframe E-mount lenses with electronic contacts for communication with the camera. You find lenses which do not provide exif in their own sheet.</t>
  </si>
  <si>
    <t xml:space="preserve">Last update: 8/19</t>
  </si>
  <si>
    <t xml:space="preserve">To sort the list by for example lens speed for example just click on the letter D and select from A-&gt;Z to order the lenses by their speed. </t>
  </si>
  <si>
    <t xml:space="preserve">Tamron 35mm f/2.8 Di III OSD M1:2</t>
  </si>
  <si>
    <t xml:space="preserve">Automatically stops down to f/2.8 at minimum focus distance and has some AF-issues in AF-C for tighter portraits. See review.</t>
  </si>
  <si>
    <t xml:space="preserve">A rebranded Viltrox? Lens diagrams are identical and specs very close.</t>
  </si>
  <si>
    <t xml:space="preserve">Voigtländer 35mm F2 APO-Lanthar Voigtlander 50mm F2 APO-Lanthar        364g        50mm        f/2.0        63mm        61mm        MF        49mm        0.156        45cm        no        12        10/8        Voigtlander        12/19        $1,049        /</t>
  </si>
  <si>
    <t xml:space="preserve">Used price
 (average 
auction 9/19)</t>
  </si>
  <si>
    <t xml:space="preserve">Samyang
45mm F1.8</t>
  </si>
  <si>
    <t xml:space="preserve">Sigma Contemporary 
2.8/45</t>
  </si>
  <si>
    <t xml:space="preserve">Sony ZA 
50mm F1.4</t>
  </si>
  <si>
    <t xml:space="preserve">Sigma Art
 1.4/50</t>
  </si>
  <si>
    <t xml:space="preserve">Samyang 
50mm F1.4</t>
  </si>
  <si>
    <t xml:space="preserve">The widest non-fisheye available.</t>
  </si>
  <si>
    <t xml:space="preserve">older rangefinder design optimized for E-mount</t>
  </si>
  <si>
    <t xml:space="preserve">Voigtlander 50mm F2 APO-Lanthar</t>
  </si>
  <si>
    <t xml:space="preserve">Super heavy for a 1.8/85</t>
  </si>
  <si>
    <t xml:space="preserve">Last update: 4/10/19</t>
  </si>
  <si>
    <t xml:space="preserve">Kit 1</t>
  </si>
  <si>
    <t xml:space="preserve">Kit 2</t>
  </si>
  <si>
    <t xml:space="preserve">Difference</t>
  </si>
  <si>
    <t xml:space="preserve">Total Weight</t>
  </si>
  <si>
    <t xml:space="preserve">Total Price (new)</t>
  </si>
  <si>
    <t xml:space="preserve">Kit-Builder</t>
  </si>
  <si>
    <t xml:space="preserve">Last update: 1/9/19</t>
  </si>
  <si>
    <t xml:space="preserve">Sony 16-55mm F1.8 G</t>
  </si>
  <si>
    <t xml:space="preserve">Sony E 70-350mm F4.5-6.3 G OSS</t>
  </si>
  <si>
    <t xml:space="preserve">This List is far from complete</t>
  </si>
  <si>
    <t xml:space="preserve">Last update: 19/9/19</t>
  </si>
  <si>
    <t xml:space="preserve">Release Year</t>
  </si>
  <si>
    <t xml:space="preserve">1:8</t>
  </si>
  <si>
    <t xml:space="preserve">30cm</t>
  </si>
  <si>
    <t xml:space="preserve">1:6.6</t>
  </si>
  <si>
    <t xml:space="preserve">6/5</t>
  </si>
  <si>
    <t xml:space="preserve">1:7.3</t>
  </si>
  <si>
    <t xml:space="preserve">Last update: 03/02/20</t>
  </si>
</sst>
</file>

<file path=xl/styles.xml><?xml version="1.0" encoding="utf-8"?>
<styleSheet xmlns="http://schemas.openxmlformats.org/spreadsheetml/2006/main">
  <numFmts count="17">
    <numFmt numFmtId="164" formatCode="General"/>
    <numFmt numFmtId="165" formatCode="#\g"/>
    <numFmt numFmtId="166" formatCode="#&quot;mm&quot;"/>
    <numFmt numFmtId="167" formatCode="&quot;f/&quot;0.0"/>
    <numFmt numFmtId="168" formatCode="@"/>
    <numFmt numFmtId="169" formatCode="#&quot;cm&quot;"/>
    <numFmt numFmtId="170" formatCode="mm\/yy"/>
    <numFmt numFmtId="171" formatCode="[$$]###"/>
    <numFmt numFmtId="172" formatCode="###&quot;mm&quot;"/>
    <numFmt numFmtId="173" formatCode="d/m"/>
    <numFmt numFmtId="174" formatCode="General"/>
    <numFmt numFmtId="175" formatCode="d/m/yy"/>
    <numFmt numFmtId="176" formatCode="dd/mm/yyyy"/>
    <numFmt numFmtId="177" formatCode="&quot;f/&quot;#.#"/>
    <numFmt numFmtId="178" formatCode="\-#&quot;mm&quot;"/>
    <numFmt numFmtId="179" formatCode="[$$]#,##0"/>
    <numFmt numFmtId="180" formatCode="[$$]#,##0.00"/>
  </numFmts>
  <fonts count="38">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b val="true"/>
      <sz val="11"/>
      <color rgb="FF0000FF"/>
      <name val="Cambria"/>
      <family val="0"/>
      <charset val="1"/>
    </font>
    <font>
      <sz val="11"/>
      <color rgb="FF000000"/>
      <name val="Inconsolata"/>
      <family val="0"/>
      <charset val="1"/>
    </font>
    <font>
      <sz val="11"/>
      <name val="Cambria"/>
      <family val="0"/>
      <charset val="1"/>
    </font>
    <font>
      <b val="true"/>
      <u val="single"/>
      <sz val="11"/>
      <color rgb="FF0000FF"/>
      <name val="Cambria"/>
      <family val="0"/>
      <charset val="1"/>
    </font>
    <font>
      <u val="single"/>
      <sz val="8"/>
      <color rgb="FF0000FF"/>
      <name val="Cambria"/>
      <family val="0"/>
      <charset val="1"/>
    </font>
    <font>
      <u val="single"/>
      <sz val="8"/>
      <color rgb="FF1155CC"/>
      <name val="Cambria"/>
      <family val="0"/>
      <charset val="1"/>
    </font>
    <font>
      <sz val="8"/>
      <name val="Cambria"/>
      <family val="0"/>
      <charset val="1"/>
    </font>
    <font>
      <sz val="11"/>
      <name val="Arial"/>
      <family val="0"/>
      <charset val="1"/>
    </font>
    <font>
      <u val="single"/>
      <sz val="11"/>
      <color rgb="FF1155CC"/>
      <name val="Cambria"/>
      <family val="0"/>
      <charset val="1"/>
    </font>
    <font>
      <b val="true"/>
      <sz val="11"/>
      <color rgb="FF000000"/>
      <name val="OpenSans"/>
      <family val="0"/>
      <charset val="1"/>
    </font>
    <font>
      <b val="true"/>
      <sz val="11"/>
      <color rgb="FF333333"/>
      <name val="Arial"/>
      <family val="0"/>
      <charset val="1"/>
    </font>
    <font>
      <b val="true"/>
      <sz val="11"/>
      <color rgb="FF1155CC"/>
      <name val="Arial"/>
      <family val="0"/>
      <charset val="1"/>
    </font>
    <font>
      <u val="single"/>
      <sz val="8"/>
      <color rgb="FF1155CC"/>
      <name val="Arial"/>
      <family val="0"/>
      <charset val="1"/>
    </font>
    <font>
      <b val="true"/>
      <sz val="11"/>
      <color rgb="FF333333"/>
      <name val="OpenSans"/>
      <family val="0"/>
      <charset val="1"/>
    </font>
    <font>
      <b val="true"/>
      <u val="single"/>
      <sz val="11"/>
      <color rgb="FF0000FF"/>
      <name val="Arial"/>
      <family val="0"/>
      <charset val="1"/>
    </font>
    <font>
      <b val="true"/>
      <sz val="11"/>
      <name val="Arial"/>
      <family val="0"/>
      <charset val="1"/>
    </font>
    <font>
      <b val="true"/>
      <sz val="11"/>
      <color rgb="FF000000"/>
      <name val="Arial"/>
      <family val="0"/>
      <charset val="1"/>
    </font>
    <font>
      <b val="true"/>
      <u val="single"/>
      <sz val="11"/>
      <color rgb="FF1155CC"/>
      <name val="Arial"/>
      <family val="0"/>
      <charset val="1"/>
    </font>
    <font>
      <sz val="11"/>
      <color rgb="FFCCCCCC"/>
      <name val="Arial"/>
      <family val="0"/>
      <charset val="1"/>
    </font>
    <font>
      <sz val="8"/>
      <name val="Arial"/>
      <family val="0"/>
      <charset val="1"/>
    </font>
    <font>
      <b val="true"/>
      <u val="single"/>
      <sz val="11"/>
      <color rgb="FF1155CC"/>
      <name val="Cambria"/>
      <family val="0"/>
      <charset val="1"/>
    </font>
    <font>
      <b val="true"/>
      <sz val="10"/>
      <color rgb="FF000000"/>
      <name val="&quot;Open Sans&quot;"/>
      <family val="0"/>
      <charset val="1"/>
    </font>
    <font>
      <b val="true"/>
      <sz val="11"/>
      <color rgb="FFFF0000"/>
      <name val="Cambria"/>
      <family val="0"/>
      <charset val="1"/>
    </font>
    <font>
      <b val="true"/>
      <sz val="11"/>
      <color rgb="FFFF0000"/>
      <name val="Inconsolata"/>
      <family val="0"/>
      <charset val="1"/>
    </font>
    <font>
      <b val="true"/>
      <sz val="11"/>
      <color rgb="FFFF0000"/>
      <name val="Arial"/>
      <family val="0"/>
      <charset val="1"/>
    </font>
    <font>
      <b val="true"/>
      <sz val="8"/>
      <color rgb="FFFF0000"/>
      <name val="Cambria"/>
      <family val="0"/>
      <charset val="1"/>
    </font>
    <font>
      <b val="true"/>
      <u val="single"/>
      <sz val="11"/>
      <color rgb="FFCFE2F3"/>
      <name val="Cambria"/>
      <family val="0"/>
      <charset val="1"/>
    </font>
    <font>
      <u val="single"/>
      <sz val="11"/>
      <color rgb="FF0000FF"/>
      <name val="Cambria"/>
      <family val="0"/>
      <charset val="1"/>
    </font>
    <font>
      <b val="true"/>
      <u val="single"/>
      <sz val="11"/>
      <color rgb="FF111111"/>
      <name val="Arial"/>
      <family val="0"/>
      <charset val="1"/>
    </font>
    <font>
      <b val="true"/>
      <sz val="11"/>
      <color rgb="FF111111"/>
      <name val="Arial"/>
      <family val="0"/>
      <charset val="1"/>
    </font>
    <font>
      <b val="true"/>
      <sz val="11"/>
      <color rgb="FFCFE2F3"/>
      <name val="Cambria"/>
      <family val="0"/>
      <charset val="1"/>
    </font>
    <font>
      <b val="true"/>
      <sz val="11"/>
      <color rgb="FF000000"/>
      <name val="Inconsolata"/>
      <family val="0"/>
      <charset val="1"/>
    </font>
    <font>
      <u val="single"/>
      <sz val="11"/>
      <color rgb="FF000000"/>
      <name val="Roboto"/>
      <family val="0"/>
      <charset val="1"/>
    </font>
  </fonts>
  <fills count="61">
    <fill>
      <patternFill patternType="none"/>
    </fill>
    <fill>
      <patternFill patternType="gray125"/>
    </fill>
    <fill>
      <patternFill patternType="solid">
        <fgColor rgb="FF3C78D8"/>
        <bgColor rgb="FF3D85C6"/>
      </patternFill>
    </fill>
    <fill>
      <patternFill patternType="solid">
        <fgColor rgb="FFE69138"/>
        <bgColor rgb="FFDD7E6B"/>
      </patternFill>
    </fill>
    <fill>
      <patternFill patternType="solid">
        <fgColor rgb="FF6FA8DC"/>
        <bgColor rgb="FF6D9EEB"/>
      </patternFill>
    </fill>
    <fill>
      <patternFill patternType="solid">
        <fgColor rgb="FF8E7CC3"/>
        <bgColor rgb="FF9A89C5"/>
      </patternFill>
    </fill>
    <fill>
      <patternFill patternType="solid">
        <fgColor rgb="FFC27BA0"/>
        <bgColor rgb="FFB87094"/>
      </patternFill>
    </fill>
    <fill>
      <patternFill patternType="solid">
        <fgColor rgb="FFFFD966"/>
        <bgColor rgb="FFFFE599"/>
      </patternFill>
    </fill>
    <fill>
      <patternFill patternType="solid">
        <fgColor rgb="FFDD7E6B"/>
        <bgColor rgb="FFE06666"/>
      </patternFill>
    </fill>
    <fill>
      <patternFill patternType="solid">
        <fgColor rgb="FFB6D7A8"/>
        <bgColor rgb="FFB7E1CD"/>
      </patternFill>
    </fill>
    <fill>
      <patternFill patternType="solid">
        <fgColor rgb="FFF6B26B"/>
        <bgColor rgb="FFEA9999"/>
      </patternFill>
    </fill>
    <fill>
      <patternFill patternType="solid">
        <fgColor rgb="FF93C47D"/>
        <bgColor rgb="FFB6D7A8"/>
      </patternFill>
    </fill>
    <fill>
      <patternFill patternType="solid">
        <fgColor rgb="FFE06666"/>
        <bgColor rgb="FFDD7E6B"/>
      </patternFill>
    </fill>
    <fill>
      <patternFill patternType="solid">
        <fgColor rgb="FF6AA84F"/>
        <bgColor rgb="FF93C47D"/>
      </patternFill>
    </fill>
    <fill>
      <patternFill patternType="solid">
        <fgColor rgb="FFFFF2CC"/>
        <bgColor rgb="FFFCE8B2"/>
      </patternFill>
    </fill>
    <fill>
      <patternFill patternType="solid">
        <fgColor rgb="FFFFFFFF"/>
        <bgColor rgb="FFEFEFEF"/>
      </patternFill>
    </fill>
    <fill>
      <patternFill patternType="solid">
        <fgColor rgb="FFD9D2E9"/>
        <bgColor rgb="FFD0C7E4"/>
      </patternFill>
    </fill>
    <fill>
      <patternFill patternType="solid">
        <fgColor rgb="FFD5A6BD"/>
        <bgColor rgb="FFD2A1B8"/>
      </patternFill>
    </fill>
    <fill>
      <patternFill patternType="solid">
        <fgColor rgb="FF6D9EEB"/>
        <bgColor rgb="FF6FA8DC"/>
      </patternFill>
    </fill>
    <fill>
      <patternFill patternType="solid">
        <fgColor rgb="FF674EA7"/>
        <bgColor rgb="FF3F77AA"/>
      </patternFill>
    </fill>
    <fill>
      <patternFill patternType="solid">
        <fgColor rgb="FF681C43"/>
        <bgColor rgb="FF674EA7"/>
      </patternFill>
    </fill>
    <fill>
      <patternFill patternType="solid">
        <fgColor rgb="FFB4A7D6"/>
        <bgColor rgb="FFAC9ECF"/>
      </patternFill>
    </fill>
    <fill>
      <patternFill patternType="solid">
        <fgColor rgb="FF00FF00"/>
        <bgColor rgb="FF6AA84F"/>
      </patternFill>
    </fill>
    <fill>
      <patternFill patternType="solid">
        <fgColor rgb="FF9FC5E8"/>
        <bgColor rgb="FFA4C2F4"/>
      </patternFill>
    </fill>
    <fill>
      <patternFill patternType="solid">
        <fgColor rgb="FF3D85C6"/>
        <bgColor rgb="FF3C78D8"/>
      </patternFill>
    </fill>
    <fill>
      <patternFill patternType="solid">
        <fgColor rgb="FFB7E1CD"/>
        <bgColor rgb="FFB6D7A8"/>
      </patternFill>
    </fill>
    <fill>
      <patternFill patternType="solid">
        <fgColor rgb="FFD9EAD3"/>
        <bgColor rgb="FFCFE2F3"/>
      </patternFill>
    </fill>
    <fill>
      <patternFill patternType="solid">
        <fgColor rgb="FFCFE2F3"/>
        <bgColor rgb="FFC9DAF8"/>
      </patternFill>
    </fill>
    <fill>
      <patternFill patternType="solid">
        <fgColor rgb="FFA4C2F4"/>
        <bgColor rgb="FF9FC5E8"/>
      </patternFill>
    </fill>
    <fill>
      <patternFill patternType="solid">
        <fgColor rgb="FF5084B2"/>
        <bgColor rgb="FF3D85C6"/>
      </patternFill>
    </fill>
    <fill>
      <patternFill patternType="solid">
        <fgColor rgb="FFC3B8DC"/>
        <bgColor rgb="FFBEB3DA"/>
      </patternFill>
    </fill>
    <fill>
      <patternFill patternType="solid">
        <fgColor rgb="FFD2A1B8"/>
        <bgColor rgb="FFD5A6BD"/>
      </patternFill>
    </fill>
    <fill>
      <patternFill patternType="solid">
        <fgColor rgb="FF96B5D1"/>
        <bgColor rgb="FF9FC5E8"/>
      </patternFill>
    </fill>
    <fill>
      <patternFill patternType="darkGray">
        <fgColor rgb="FFBEB3DA"/>
        <bgColor rgb="FFC3B8DC"/>
      </patternFill>
    </fill>
    <fill>
      <patternFill patternType="darkGray">
        <fgColor rgb="FFB87094"/>
        <bgColor rgb="FFC27BA0"/>
      </patternFill>
    </fill>
    <fill>
      <patternFill patternType="solid">
        <fgColor rgb="FFC9DAF8"/>
        <bgColor rgb="FFCFE2F3"/>
      </patternFill>
    </fill>
    <fill>
      <patternFill patternType="solid">
        <fgColor rgb="FFF4CCCC"/>
        <bgColor rgb="FFEAD1DC"/>
      </patternFill>
    </fill>
    <fill>
      <patternFill patternType="solid">
        <fgColor rgb="FFA697CC"/>
        <bgColor rgb="FFAC9ECF"/>
      </patternFill>
    </fill>
    <fill>
      <patternFill patternType="solid">
        <fgColor rgb="FFD8AFC2"/>
        <bgColor rgb="FFDCB4C7"/>
      </patternFill>
    </fill>
    <fill>
      <patternFill patternType="solid">
        <fgColor rgb="FFEA9999"/>
        <bgColor rgb="FFD2A1B8"/>
      </patternFill>
    </fill>
    <fill>
      <patternFill patternType="solid">
        <fgColor rgb="FFD0C7E4"/>
        <bgColor rgb="FFCBC2E2"/>
      </patternFill>
    </fill>
    <fill>
      <patternFill patternType="solid">
        <fgColor rgb="FFE3C3D1"/>
        <bgColor rgb="FFDDB8C9"/>
      </patternFill>
    </fill>
    <fill>
      <patternFill patternType="solid">
        <fgColor rgb="FF3F77AA"/>
        <bgColor rgb="FF5084B2"/>
      </patternFill>
    </fill>
    <fill>
      <patternFill patternType="solid">
        <fgColor rgb="FFAC9ECF"/>
        <bgColor rgb="FFA697CC"/>
      </patternFill>
    </fill>
    <fill>
      <patternFill patternType="solid">
        <fgColor rgb="FFC78DA9"/>
        <bgColor rgb="FFD2A1B8"/>
      </patternFill>
    </fill>
    <fill>
      <patternFill patternType="solid">
        <fgColor rgb="FFFF0000"/>
        <bgColor rgb="FFE06666"/>
      </patternFill>
    </fill>
    <fill>
      <patternFill patternType="solid">
        <fgColor rgb="FFFFE599"/>
        <bgColor rgb="FFFCE8B2"/>
      </patternFill>
    </fill>
    <fill>
      <patternFill patternType="solid">
        <fgColor rgb="FFFCE8B2"/>
        <bgColor rgb="FFFFE599"/>
      </patternFill>
    </fill>
    <fill>
      <patternFill patternType="solid">
        <fgColor rgb="FFDDB8C9"/>
        <bgColor rgb="FFDCB4C7"/>
      </patternFill>
    </fill>
    <fill>
      <patternFill patternType="darkGray">
        <fgColor rgb="FF9A89C5"/>
        <bgColor rgb="FFA697CC"/>
      </patternFill>
    </fill>
    <fill>
      <patternFill patternType="solid">
        <fgColor rgb="FFC27BA0"/>
        <bgColor rgb="FFB87094"/>
      </patternFill>
    </fill>
    <fill>
      <patternFill patternType="darkGray">
        <fgColor rgb="FF9A89C5"/>
        <bgColor rgb="FF8E7CC3"/>
      </patternFill>
    </fill>
    <fill>
      <patternFill patternType="solid">
        <fgColor rgb="FFB87094"/>
        <bgColor rgb="FFC27BA0"/>
      </patternFill>
    </fill>
    <fill>
      <patternFill patternType="solid">
        <fgColor rgb="FFBEB3DA"/>
        <bgColor rgb="FFC3B8DC"/>
      </patternFill>
    </fill>
    <fill>
      <patternFill patternType="darkGray">
        <fgColor rgb="FFC78DA9"/>
        <bgColor rgb="FFC27BA0"/>
      </patternFill>
    </fill>
    <fill>
      <patternFill patternType="darkGray">
        <fgColor rgb="FFCBC2E2"/>
        <bgColor rgb="FFD0C7E4"/>
      </patternFill>
    </fill>
    <fill>
      <patternFill patternType="darkGray">
        <fgColor rgb="FFDCB4C7"/>
        <bgColor rgb="FFD8AFC2"/>
      </patternFill>
    </fill>
    <fill>
      <patternFill patternType="solid">
        <fgColor rgb="FFD5A6BD"/>
        <bgColor rgb="FFD2A1B8"/>
      </patternFill>
    </fill>
    <fill>
      <patternFill patternType="solid">
        <fgColor rgb="FFCBC2E2"/>
        <bgColor rgb="FFD0C7E4"/>
      </patternFill>
    </fill>
    <fill>
      <patternFill patternType="darkGray">
        <fgColor rgb="FFDCB4C7"/>
        <bgColor rgb="FFDDB8C9"/>
      </patternFill>
    </fill>
    <fill>
      <patternFill patternType="solid">
        <fgColor rgb="FFEAD1DC"/>
        <bgColor rgb="FFF4CCCC"/>
      </patternFill>
    </fill>
  </fills>
  <borders count="3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bottom style="medium"/>
      <diagonal/>
    </border>
    <border diagonalUp="false" diagonalDown="false">
      <left/>
      <right style="thin"/>
      <top style="thin"/>
      <bottom style="thin"/>
      <diagonal/>
    </border>
    <border diagonalUp="false" diagonalDown="false">
      <left/>
      <right style="thin"/>
      <top/>
      <bottom style="medium"/>
      <diagonal/>
    </border>
    <border diagonalUp="false" diagonalDown="false">
      <left/>
      <right style="thin"/>
      <top/>
      <bottom style="thin"/>
      <diagonal/>
    </border>
    <border diagonalUp="false" diagonalDown="false">
      <left style="thin"/>
      <right style="thin"/>
      <top style="thin"/>
      <bottom/>
      <diagonal/>
    </border>
    <border diagonalUp="false" diagonalDown="false">
      <left/>
      <right style="thin"/>
      <top/>
      <botto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style="thin"/>
      <top style="thin"/>
      <bottom style="medium"/>
      <diagonal/>
    </border>
    <border diagonalUp="false" diagonalDown="false">
      <left/>
      <right style="thin"/>
      <top style="thin"/>
      <bottom/>
      <diagonal/>
    </border>
    <border diagonalUp="false" diagonalDown="false">
      <left style="thin"/>
      <right style="thin"/>
      <top style="thin"/>
      <bottom style="thick"/>
      <diagonal/>
    </border>
    <border diagonalUp="false" diagonalDown="false">
      <left/>
      <right/>
      <top/>
      <bottom style="thick"/>
      <diagonal/>
    </border>
    <border diagonalUp="false" diagonalDown="false">
      <left style="thin"/>
      <right style="thin"/>
      <top/>
      <bottom style="thick"/>
      <diagonal/>
    </border>
    <border diagonalUp="false" diagonalDown="false">
      <left/>
      <right/>
      <top style="thin"/>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ck"/>
      <right/>
      <top style="thick"/>
      <bottom/>
      <diagonal/>
    </border>
    <border diagonalUp="false" diagonalDown="false">
      <left/>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style="thin"/>
      <right/>
      <top/>
      <bottom/>
      <diagonal/>
    </border>
    <border diagonalUp="false" diagonalDown="false">
      <left style="thick"/>
      <right style="thin"/>
      <top style="thick"/>
      <bottom/>
      <diagonal/>
    </border>
    <border diagonalUp="false" diagonalDown="false">
      <left style="thin"/>
      <right style="thin"/>
      <top style="thick"/>
      <bottom/>
      <diagonal/>
    </border>
    <border diagonalUp="false" diagonalDown="false">
      <left/>
      <right style="thin"/>
      <top style="thick"/>
      <bottom/>
      <diagonal/>
    </border>
    <border diagonalUp="false" diagonalDown="false">
      <left style="thin"/>
      <right style="thick"/>
      <top style="thick"/>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true" indent="0" shrinkToFit="false"/>
      <protection locked="true" hidden="false"/>
    </xf>
    <xf numFmtId="164" fontId="4" fillId="2" borderId="1" xfId="0" applyFont="true" applyBorder="true" applyAlignment="true" applyProtection="true">
      <alignment horizontal="right" vertical="center" textRotation="90" wrapText="false" indent="0" shrinkToFit="false"/>
      <protection locked="true" hidden="false"/>
    </xf>
    <xf numFmtId="164" fontId="4" fillId="5" borderId="1" xfId="0" applyFont="true" applyBorder="true" applyAlignment="true" applyProtection="true">
      <alignment horizontal="right" vertical="center" textRotation="90" wrapText="false" indent="0" shrinkToFit="false"/>
      <protection locked="true" hidden="false"/>
    </xf>
    <xf numFmtId="164" fontId="4" fillId="6" borderId="1" xfId="0" applyFont="true" applyBorder="true" applyAlignment="true" applyProtection="true">
      <alignment horizontal="right" vertical="center" textRotation="90" wrapText="false" indent="0" shrinkToFit="false"/>
      <protection locked="true" hidden="false"/>
    </xf>
    <xf numFmtId="164" fontId="4" fillId="7" borderId="1" xfId="0" applyFont="true" applyBorder="true" applyAlignment="true" applyProtection="true">
      <alignment horizontal="right" vertical="center" textRotation="90" wrapText="false" indent="0" shrinkToFit="false"/>
      <protection locked="true" hidden="false"/>
    </xf>
    <xf numFmtId="164" fontId="4" fillId="8"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right" vertical="center" textRotation="90" wrapText="true" indent="0" shrinkToFit="false"/>
      <protection locked="true" hidden="false"/>
    </xf>
    <xf numFmtId="164" fontId="4" fillId="5" borderId="1" xfId="0" applyFont="true" applyBorder="true" applyAlignment="true" applyProtection="true">
      <alignment horizontal="right" vertical="center" textRotation="90" wrapText="true" indent="0" shrinkToFit="false"/>
      <protection locked="true" hidden="false"/>
    </xf>
    <xf numFmtId="164" fontId="4" fillId="7" borderId="1" xfId="0" applyFont="true" applyBorder="true" applyAlignment="true" applyProtection="true">
      <alignment horizontal="right" vertical="center" textRotation="90" wrapText="true" indent="0" shrinkToFit="false"/>
      <protection locked="true" hidden="false"/>
    </xf>
    <xf numFmtId="164" fontId="4" fillId="10" borderId="1" xfId="0" applyFont="true" applyBorder="true" applyAlignment="true" applyProtection="true">
      <alignment horizontal="right" vertical="center" textRotation="90" wrapText="false" indent="0" shrinkToFit="false"/>
      <protection locked="true" hidden="false"/>
    </xf>
    <xf numFmtId="164" fontId="4" fillId="4" borderId="1" xfId="0" applyFont="true" applyBorder="true" applyAlignment="true" applyProtection="true">
      <alignment horizontal="right" vertical="center" textRotation="90" wrapText="false" indent="0" shrinkToFit="false"/>
      <protection locked="true" hidden="false"/>
    </xf>
    <xf numFmtId="164" fontId="4" fillId="11" borderId="1" xfId="0" applyFont="true" applyBorder="true" applyAlignment="true" applyProtection="true">
      <alignment horizontal="center" vertical="center" textRotation="90" wrapText="true" indent="0" shrinkToFit="false"/>
      <protection locked="true" hidden="false"/>
    </xf>
    <xf numFmtId="164" fontId="4" fillId="9" borderId="1" xfId="0" applyFont="true" applyBorder="true" applyAlignment="true" applyProtection="true">
      <alignment horizontal="center" vertical="center" textRotation="90" wrapText="true" indent="0" shrinkToFit="false"/>
      <protection locked="true" hidden="false"/>
    </xf>
    <xf numFmtId="164" fontId="5" fillId="10" borderId="1" xfId="0" applyFont="true" applyBorder="true" applyAlignment="true" applyProtection="true">
      <alignment horizontal="right" vertical="center" textRotation="90" wrapText="false" indent="0" shrinkToFit="false"/>
      <protection locked="true" hidden="false"/>
    </xf>
    <xf numFmtId="164" fontId="4" fillId="12" borderId="1" xfId="0" applyFont="true" applyBorder="true" applyAlignment="true" applyProtection="true">
      <alignment horizontal="right" vertical="center" textRotation="90" wrapText="false" indent="0" shrinkToFit="false"/>
      <protection locked="true" hidden="false"/>
    </xf>
    <xf numFmtId="164" fontId="5" fillId="13" borderId="1" xfId="0" applyFont="true" applyBorder="true" applyAlignment="true" applyProtection="true">
      <alignment horizontal="right" vertical="center" textRotation="90" wrapText="false" indent="0" shrinkToFit="false"/>
      <protection locked="true" hidden="false"/>
    </xf>
    <xf numFmtId="164" fontId="4" fillId="10" borderId="0" xfId="0" applyFont="true" applyBorder="false" applyAlignment="true" applyProtection="true">
      <alignment horizontal="right" vertical="center" textRotation="90" wrapText="true" indent="0" shrinkToFit="false"/>
      <protection locked="true" hidden="false"/>
    </xf>
    <xf numFmtId="164" fontId="6"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right" vertical="bottom" textRotation="0" wrapText="false" indent="0" shrinkToFit="false"/>
      <protection locked="true" hidden="false"/>
    </xf>
    <xf numFmtId="164" fontId="4" fillId="14" borderId="0" xfId="0" applyFont="true" applyBorder="false" applyAlignment="true" applyProtection="true">
      <alignment horizontal="general" vertical="bottom" textRotation="0" wrapText="false" indent="0" shrinkToFit="false"/>
      <protection locked="true" hidden="false"/>
    </xf>
    <xf numFmtId="164" fontId="8" fillId="15" borderId="2"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6" fontId="7" fillId="15" borderId="2" xfId="0" applyFont="true" applyBorder="true" applyAlignment="true" applyProtection="true">
      <alignment horizontal="general" vertical="bottom" textRotation="0" wrapText="false" indent="0" shrinkToFit="false"/>
      <protection locked="true" hidden="false"/>
    </xf>
    <xf numFmtId="167" fontId="7" fillId="0" borderId="2" xfId="0" applyFont="true" applyBorder="true" applyAlignment="true" applyProtection="true">
      <alignment horizontal="center" vertical="bottom" textRotation="0" wrapText="false" indent="0" shrinkToFit="false"/>
      <protection locked="true" hidden="false"/>
    </xf>
    <xf numFmtId="166" fontId="7" fillId="16" borderId="2" xfId="0" applyFont="true" applyBorder="true" applyAlignment="true" applyProtection="true">
      <alignment horizontal="general" vertical="bottom" textRotation="0" wrapText="false" indent="0" shrinkToFit="false"/>
      <protection locked="true" hidden="false"/>
    </xf>
    <xf numFmtId="166" fontId="7" fillId="17"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right"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9" fontId="7" fillId="0" borderId="2" xfId="0" applyFont="true" applyBorder="true" applyAlignment="true" applyProtection="true">
      <alignment horizontal="general" vertical="bottom" textRotation="0" wrapText="false" indent="0" shrinkToFit="false"/>
      <protection locked="true" hidden="false"/>
    </xf>
    <xf numFmtId="168" fontId="7" fillId="0" borderId="2" xfId="0" applyFont="true" applyBorder="true" applyAlignment="true" applyProtection="true">
      <alignment horizontal="center" vertical="bottom" textRotation="0" wrapText="false" indent="0" shrinkToFit="false"/>
      <protection locked="true" hidden="false"/>
    </xf>
    <xf numFmtId="170" fontId="7" fillId="0" borderId="2" xfId="0" applyFont="true" applyBorder="true" applyAlignment="true" applyProtection="true">
      <alignment horizontal="general" vertical="bottom" textRotation="0" wrapText="false" indent="0" shrinkToFit="false"/>
      <protection locked="true" hidden="false"/>
    </xf>
    <xf numFmtId="171" fontId="7"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4" fillId="15" borderId="4"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6" fontId="7" fillId="15" borderId="4" xfId="0" applyFont="true" applyBorder="true" applyAlignment="true" applyProtection="true">
      <alignment horizontal="general" vertical="bottom" textRotation="0" wrapText="false" indent="0" shrinkToFit="false"/>
      <protection locked="true" hidden="false"/>
    </xf>
    <xf numFmtId="167" fontId="7" fillId="0" borderId="4" xfId="0" applyFont="true" applyBorder="true" applyAlignment="true" applyProtection="true">
      <alignment horizontal="center" vertical="bottom" textRotation="0" wrapText="false" indent="0" shrinkToFit="false"/>
      <protection locked="true" hidden="false"/>
    </xf>
    <xf numFmtId="172" fontId="7" fillId="0" borderId="4" xfId="0" applyFont="true" applyBorder="true" applyAlignment="true" applyProtection="true">
      <alignment horizontal="general" vertical="bottom" textRotation="0" wrapText="false" indent="0" shrinkToFit="false"/>
      <protection locked="true" hidden="false"/>
    </xf>
    <xf numFmtId="166"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righ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9" fontId="7" fillId="0" borderId="4" xfId="0" applyFont="true" applyBorder="true" applyAlignment="true" applyProtection="true">
      <alignment horizontal="general" vertical="bottom" textRotation="0" wrapText="false" indent="0" shrinkToFit="false"/>
      <protection locked="true" hidden="false"/>
    </xf>
    <xf numFmtId="168" fontId="7" fillId="0" borderId="4" xfId="0" applyFont="true" applyBorder="true" applyAlignment="true" applyProtection="true">
      <alignment horizontal="center" vertical="bottom" textRotation="0" wrapText="false" indent="0" shrinkToFit="false"/>
      <protection locked="true" hidden="false"/>
    </xf>
    <xf numFmtId="170" fontId="7" fillId="0" borderId="4" xfId="0" applyFont="true" applyBorder="true" applyAlignment="true" applyProtection="true">
      <alignment horizontal="general" vertical="bottom" textRotation="0" wrapText="false" indent="0" shrinkToFit="false"/>
      <protection locked="true" hidden="false"/>
    </xf>
    <xf numFmtId="171" fontId="7" fillId="0" borderId="4" xfId="0"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tru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general" vertical="bottom" textRotation="0" wrapText="false" indent="0" shrinkToFit="false"/>
      <protection locked="true" hidden="false"/>
    </xf>
    <xf numFmtId="164" fontId="4" fillId="15" borderId="5" xfId="0" applyFont="true" applyBorder="true" applyAlignment="tru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6" fontId="7" fillId="15" borderId="5" xfId="0" applyFont="true" applyBorder="true" applyAlignment="true" applyProtection="true">
      <alignment horizontal="general" vertical="bottom" textRotation="0" wrapText="false" indent="0" shrinkToFit="false"/>
      <protection locked="true" hidden="false"/>
    </xf>
    <xf numFmtId="167" fontId="7" fillId="0" borderId="5" xfId="0" applyFont="true" applyBorder="true" applyAlignment="true" applyProtection="true">
      <alignment horizontal="center" vertical="bottom" textRotation="0" wrapText="false" indent="0" shrinkToFit="false"/>
      <protection locked="true" hidden="false"/>
    </xf>
    <xf numFmtId="172" fontId="7" fillId="0" borderId="5" xfId="0" applyFont="true" applyBorder="true" applyAlignment="true" applyProtection="true">
      <alignment horizontal="general" vertical="bottom" textRotation="0" wrapText="false" indent="0" shrinkToFit="false"/>
      <protection locked="true" hidden="false"/>
    </xf>
    <xf numFmtId="166"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righ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9" fontId="7" fillId="0" borderId="5" xfId="0" applyFont="true" applyBorder="true" applyAlignment="true" applyProtection="true">
      <alignment horizontal="general" vertical="bottom" textRotation="0" wrapText="false" indent="0" shrinkToFit="false"/>
      <protection locked="true" hidden="false"/>
    </xf>
    <xf numFmtId="168" fontId="7" fillId="0" borderId="5"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general" vertical="bottom" textRotation="0" wrapText="false" indent="0" shrinkToFit="false"/>
      <protection locked="true" hidden="false"/>
    </xf>
    <xf numFmtId="171" fontId="7" fillId="0" borderId="5" xfId="0" applyFont="true" applyBorder="true" applyAlignment="true" applyProtection="true">
      <alignment horizontal="general" vertical="bottom" textRotation="0" wrapText="false" indent="0" shrinkToFit="false"/>
      <protection locked="true" hidden="false"/>
    </xf>
    <xf numFmtId="164" fontId="11" fillId="0" borderId="5" xfId="0" applyFont="true" applyBorder="true" applyAlignment="true" applyProtection="true">
      <alignment horizontal="general" vertical="bottom" textRotation="0" wrapText="false" indent="0" shrinkToFit="false"/>
      <protection locked="true" hidden="false"/>
    </xf>
    <xf numFmtId="164" fontId="10" fillId="0" borderId="5"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72" fontId="7" fillId="16" borderId="2" xfId="0" applyFont="true" applyBorder="true" applyAlignment="true" applyProtection="true">
      <alignment horizontal="general" vertical="bottom" textRotation="0" wrapText="false" indent="0" shrinkToFit="false"/>
      <protection locked="true" hidden="false"/>
    </xf>
    <xf numFmtId="164" fontId="11" fillId="0" borderId="2" xfId="0" applyFont="true" applyBorder="true" applyAlignment="true" applyProtection="true">
      <alignment horizontal="general" vertical="bottom" textRotation="0" wrapText="false" indent="0" shrinkToFit="false"/>
      <protection locked="true" hidden="false"/>
    </xf>
    <xf numFmtId="167" fontId="7" fillId="18" borderId="5" xfId="0" applyFont="true" applyBorder="true" applyAlignment="true" applyProtection="true">
      <alignment horizontal="center" vertical="bottom" textRotation="0" wrapText="false" indent="0" shrinkToFit="false"/>
      <protection locked="true" hidden="false"/>
    </xf>
    <xf numFmtId="172" fontId="7" fillId="19" borderId="5" xfId="0" applyFont="true" applyBorder="true" applyAlignment="true" applyProtection="true">
      <alignment horizontal="general" vertical="bottom" textRotation="0" wrapText="false" indent="0" shrinkToFit="false"/>
      <protection locked="true" hidden="false"/>
    </xf>
    <xf numFmtId="166" fontId="7" fillId="20" borderId="5" xfId="0" applyFont="true" applyBorder="true" applyAlignment="true" applyProtection="true">
      <alignment horizontal="general" vertical="bottom" textRotation="0" wrapText="false" indent="0" shrinkToFit="false"/>
      <protection locked="true" hidden="false"/>
    </xf>
    <xf numFmtId="173" fontId="7" fillId="0" borderId="5" xfId="0" applyFont="true" applyBorder="true" applyAlignment="true" applyProtection="true">
      <alignment horizontal="center" vertical="bottom" textRotation="0" wrapText="false" indent="0" shrinkToFit="false"/>
      <protection locked="true" hidden="false"/>
    </xf>
    <xf numFmtId="167" fontId="7" fillId="18" borderId="4" xfId="0" applyFont="true" applyBorder="true" applyAlignment="true" applyProtection="true">
      <alignment horizontal="center" vertical="bottom" textRotation="0" wrapText="false" indent="0" shrinkToFit="false"/>
      <protection locked="true" hidden="false"/>
    </xf>
    <xf numFmtId="172" fontId="7" fillId="19" borderId="4" xfId="0" applyFont="true" applyBorder="true" applyAlignment="true" applyProtection="true">
      <alignment horizontal="general" vertical="bottom" textRotation="0" wrapText="false" indent="0" shrinkToFit="false"/>
      <protection locked="true" hidden="false"/>
    </xf>
    <xf numFmtId="166" fontId="7" fillId="20" borderId="4" xfId="0" applyFont="true" applyBorder="true" applyAlignment="true" applyProtection="true">
      <alignment horizontal="general" vertical="bottom" textRotation="0" wrapText="false" indent="0" shrinkToFit="false"/>
      <protection locked="true" hidden="false"/>
    </xf>
    <xf numFmtId="173" fontId="7" fillId="0" borderId="4" xfId="0" applyFont="true" applyBorder="true" applyAlignment="true" applyProtection="true">
      <alignment horizontal="center" vertical="bottom" textRotation="0" wrapText="false" indent="0" shrinkToFit="false"/>
      <protection locked="true" hidden="false"/>
    </xf>
    <xf numFmtId="164" fontId="4" fillId="15"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15" borderId="1" xfId="0" applyFont="true" applyBorder="true" applyAlignment="true" applyProtection="true">
      <alignment horizontal="general" vertical="bottom" textRotation="0" wrapText="false" indent="0" shrinkToFit="false"/>
      <protection locked="true" hidden="false"/>
    </xf>
    <xf numFmtId="167" fontId="7" fillId="0" borderId="1" xfId="0" applyFont="true" applyBorder="true" applyAlignment="true" applyProtection="true">
      <alignment horizontal="center" vertical="bottom" textRotation="0" wrapText="false" indent="0" shrinkToFit="false"/>
      <protection locked="true" hidden="false"/>
    </xf>
    <xf numFmtId="172" fontId="7" fillId="0" borderId="1" xfId="0" applyFont="true" applyBorder="true" applyAlignment="true" applyProtection="true">
      <alignment horizontal="general" vertical="bottom" textRotation="0" wrapText="false" indent="0" shrinkToFit="false"/>
      <protection locked="true" hidden="false"/>
    </xf>
    <xf numFmtId="166" fontId="7" fillId="2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right" vertical="bottom" textRotation="0" wrapText="false" indent="0" shrinkToFit="false"/>
      <protection locked="true" hidden="false"/>
    </xf>
    <xf numFmtId="169" fontId="7" fillId="0" borderId="1"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70" fontId="7" fillId="0" borderId="1" xfId="0" applyFont="true" applyBorder="true" applyAlignment="true" applyProtection="true">
      <alignment horizontal="general" vertical="bottom" textRotation="0" wrapText="false" indent="0" shrinkToFit="false"/>
      <protection locked="true" hidden="false"/>
    </xf>
    <xf numFmtId="171" fontId="7" fillId="0" borderId="1"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4" fontId="4" fillId="15" borderId="2" xfId="0" applyFont="true" applyBorder="true" applyAlignment="true" applyProtection="true">
      <alignment horizontal="general" vertical="bottom" textRotation="0" wrapText="false" indent="0" shrinkToFit="false"/>
      <protection locked="true" hidden="false"/>
    </xf>
    <xf numFmtId="172" fontId="7" fillId="0" borderId="2" xfId="0" applyFont="true" applyBorder="true" applyAlignment="true" applyProtection="true">
      <alignment horizontal="general" vertical="bottom" textRotation="0" wrapText="false" indent="0" shrinkToFit="false"/>
      <protection locked="true" hidden="false"/>
    </xf>
    <xf numFmtId="166" fontId="7" fillId="0" borderId="2" xfId="0" applyFont="true" applyBorder="true" applyAlignment="true" applyProtection="true">
      <alignment horizontal="general" vertical="bottom" textRotation="0" wrapText="false" indent="0" shrinkToFit="false"/>
      <protection locked="true" hidden="false"/>
    </xf>
    <xf numFmtId="173" fontId="7" fillId="0" borderId="2" xfId="0" applyFont="true" applyBorder="true" applyAlignment="true" applyProtection="true">
      <alignment horizontal="center" vertical="bottom" textRotation="0" wrapText="false" indent="0" shrinkToFit="false"/>
      <protection locked="true" hidden="false"/>
    </xf>
    <xf numFmtId="164" fontId="8" fillId="15" borderId="6"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6" fontId="7" fillId="15" borderId="6" xfId="0" applyFont="true" applyBorder="true" applyAlignment="true" applyProtection="true">
      <alignment horizontal="general" vertical="bottom" textRotation="0" wrapText="false" indent="0" shrinkToFit="false"/>
      <protection locked="true" hidden="false"/>
    </xf>
    <xf numFmtId="167" fontId="7" fillId="0" borderId="6" xfId="0" applyFont="true" applyBorder="true" applyAlignment="true" applyProtection="true">
      <alignment horizontal="center" vertical="bottom" textRotation="0" wrapText="false" indent="0" shrinkToFit="false"/>
      <protection locked="true" hidden="false"/>
    </xf>
    <xf numFmtId="172" fontId="7" fillId="16" borderId="6" xfId="0" applyFont="true" applyBorder="true" applyAlignment="true" applyProtection="true">
      <alignment horizontal="general" vertical="bottom" textRotation="0" wrapText="false" indent="0" shrinkToFit="false"/>
      <protection locked="true" hidden="false"/>
    </xf>
    <xf numFmtId="166" fontId="7" fillId="17"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9" fontId="7" fillId="0" borderId="6" xfId="0" applyFont="true" applyBorder="true" applyAlignment="true" applyProtection="true">
      <alignment horizontal="general" vertical="bottom" textRotation="0" wrapText="false" indent="0" shrinkToFit="false"/>
      <protection locked="true" hidden="false"/>
    </xf>
    <xf numFmtId="168" fontId="7" fillId="0" borderId="6" xfId="0" applyFont="true" applyBorder="true" applyAlignment="true" applyProtection="true">
      <alignment horizontal="center" vertical="bottom" textRotation="0" wrapText="false" indent="0" shrinkToFit="false"/>
      <protection locked="true" hidden="false"/>
    </xf>
    <xf numFmtId="170" fontId="7" fillId="0" borderId="6" xfId="0" applyFont="true" applyBorder="true" applyAlignment="true" applyProtection="true">
      <alignment horizontal="general" vertical="bottom" textRotation="0" wrapText="false" indent="0" shrinkToFit="false"/>
      <protection locked="true" hidden="false"/>
    </xf>
    <xf numFmtId="171" fontId="7" fillId="0" borderId="6"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4" fontId="8" fillId="15" borderId="4" xfId="0" applyFont="true" applyBorder="true" applyAlignment="true" applyProtection="true">
      <alignment horizontal="general" vertical="bottom" textRotation="0" wrapText="false" indent="0" shrinkToFit="false"/>
      <protection locked="true" hidden="false"/>
    </xf>
    <xf numFmtId="164" fontId="7" fillId="5" borderId="4" xfId="0" applyFont="true" applyBorder="true" applyAlignment="true" applyProtection="true">
      <alignment horizontal="general" vertical="bottom" textRotation="0" wrapText="false" indent="0" shrinkToFit="false"/>
      <protection locked="true" hidden="false"/>
    </xf>
    <xf numFmtId="172" fontId="7" fillId="21" borderId="6" xfId="0" applyFont="true" applyBorder="true" applyAlignment="true" applyProtection="true">
      <alignment horizontal="general" vertical="bottom" textRotation="0" wrapText="false" indent="0" shrinkToFit="false"/>
      <protection locked="true" hidden="false"/>
    </xf>
    <xf numFmtId="166" fontId="7" fillId="0" borderId="6" xfId="0" applyFont="true" applyBorder="true" applyAlignment="true" applyProtection="true">
      <alignment horizontal="general" vertical="bottom" textRotation="0" wrapText="false" indent="0" shrinkToFit="false"/>
      <protection locked="true" hidden="false"/>
    </xf>
    <xf numFmtId="171" fontId="7" fillId="22" borderId="6" xfId="0" applyFont="true" applyBorder="true" applyAlignment="true" applyProtection="true">
      <alignment horizontal="general" vertical="bottom"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7" fontId="7" fillId="23" borderId="4" xfId="0" applyFont="true" applyBorder="true" applyAlignment="true" applyProtection="true">
      <alignment horizontal="center" vertical="bottom" textRotation="0" wrapText="false" indent="0" shrinkToFit="false"/>
      <protection locked="true" hidden="false"/>
    </xf>
    <xf numFmtId="167" fontId="7" fillId="18" borderId="1" xfId="0" applyFont="true" applyBorder="true" applyAlignment="true" applyProtection="true">
      <alignment horizontal="center"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73" fontId="7" fillId="0" borderId="1" xfId="0" applyFont="true" applyBorder="true" applyAlignment="true" applyProtection="true">
      <alignment horizontal="center" vertical="bottom" textRotation="0" wrapText="false" indent="0" shrinkToFit="false"/>
      <protection locked="true" hidden="false"/>
    </xf>
    <xf numFmtId="167" fontId="7" fillId="24" borderId="1" xfId="0" applyFont="true" applyBorder="true" applyAlignment="true" applyProtection="true">
      <alignment horizontal="center" vertical="bottom" textRotation="0" wrapText="false" indent="0" shrinkToFit="false"/>
      <protection locked="true" hidden="false"/>
    </xf>
    <xf numFmtId="166" fontId="12" fillId="25" borderId="1" xfId="0" applyFont="true" applyBorder="true" applyAlignment="true" applyProtection="true">
      <alignment horizontal="right" vertical="bottom" textRotation="0" wrapText="false" indent="0" shrinkToFit="false"/>
      <protection locked="true" hidden="false"/>
    </xf>
    <xf numFmtId="166" fontId="12" fillId="0" borderId="7" xfId="0" applyFont="true" applyBorder="true" applyAlignment="true" applyProtection="true">
      <alignment horizontal="general" vertical="bottom" textRotation="0" wrapText="false" indent="0" shrinkToFit="false"/>
      <protection locked="true" hidden="false"/>
    </xf>
    <xf numFmtId="168" fontId="7" fillId="0" borderId="1" xfId="0" applyFont="true" applyBorder="true" applyAlignment="true" applyProtection="true">
      <alignment horizontal="center" vertical="bottom" textRotation="0" wrapText="false" indent="0" shrinkToFit="false"/>
      <protection locked="true" hidden="false"/>
    </xf>
    <xf numFmtId="171" fontId="7" fillId="26" borderId="1" xfId="0" applyFont="true" applyBorder="true" applyAlignment="true" applyProtection="true">
      <alignment horizontal="general" vertical="bottom" textRotation="0" wrapText="false" indent="0" shrinkToFit="false"/>
      <protection locked="true" hidden="false"/>
    </xf>
    <xf numFmtId="164" fontId="8" fillId="15" borderId="1" xfId="0" applyFont="true" applyBorder="true" applyAlignment="true" applyProtection="true">
      <alignment horizontal="general" vertical="bottom" textRotation="0" wrapText="false" indent="0" shrinkToFit="false"/>
      <protection locked="true" hidden="false"/>
    </xf>
    <xf numFmtId="167" fontId="7" fillId="24" borderId="2" xfId="0" applyFont="true" applyBorder="true" applyAlignment="true" applyProtection="true">
      <alignment horizontal="center" vertical="bottom" textRotation="0" wrapText="false" indent="0" shrinkToFit="false"/>
      <protection locked="true" hidden="false"/>
    </xf>
    <xf numFmtId="166" fontId="12" fillId="25" borderId="6" xfId="0" applyFont="true" applyBorder="true" applyAlignment="true" applyProtection="true">
      <alignment horizontal="right" vertical="bottom" textRotation="0" wrapText="false" indent="0" shrinkToFit="false"/>
      <protection locked="true" hidden="false"/>
    </xf>
    <xf numFmtId="166" fontId="12" fillId="25" borderId="8"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6" fontId="12" fillId="25" borderId="4" xfId="0" applyFont="true" applyBorder="true" applyAlignment="true" applyProtection="true">
      <alignment horizontal="right" vertical="bottom" textRotation="0" wrapText="false" indent="0" shrinkToFit="false"/>
      <protection locked="true" hidden="false"/>
    </xf>
    <xf numFmtId="166" fontId="12" fillId="25" borderId="9" xfId="0" applyFont="true" applyBorder="true" applyAlignment="true" applyProtection="true">
      <alignment horizontal="general" vertical="bottom" textRotation="0" wrapText="false" indent="0" shrinkToFit="false"/>
      <protection locked="true" hidden="false"/>
    </xf>
    <xf numFmtId="164" fontId="7" fillId="27" borderId="1" xfId="0" applyFont="true" applyBorder="true" applyAlignment="true" applyProtection="true">
      <alignment horizontal="general" vertical="bottom" textRotation="0" wrapText="false" indent="0" shrinkToFit="false"/>
      <protection locked="true" hidden="false"/>
    </xf>
    <xf numFmtId="171" fontId="7" fillId="0" borderId="10"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7" fontId="7" fillId="28" borderId="4" xfId="0" applyFont="true" applyBorder="true" applyAlignment="true" applyProtection="true">
      <alignment horizontal="center" vertical="bottom" textRotation="0" wrapText="false" indent="0" shrinkToFit="false"/>
      <protection locked="true" hidden="false"/>
    </xf>
    <xf numFmtId="166" fontId="12" fillId="0" borderId="9" xfId="0" applyFont="true" applyBorder="true" applyAlignment="true" applyProtection="true">
      <alignment horizontal="general" vertical="bottom"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13" fillId="15" borderId="1" xfId="0" applyFont="true" applyBorder="true" applyAlignment="true" applyProtection="true">
      <alignment horizontal="general" vertical="bottom" textRotation="0" wrapText="false" indent="0" shrinkToFit="false"/>
      <protection locked="true" hidden="false"/>
    </xf>
    <xf numFmtId="167" fontId="7" fillId="28" borderId="1" xfId="0" applyFont="true" applyBorder="true" applyAlignment="true" applyProtection="true">
      <alignment horizontal="center" vertical="bottom" textRotation="0" wrapText="false" indent="0" shrinkToFit="false"/>
      <protection locked="true" hidden="false"/>
    </xf>
    <xf numFmtId="164" fontId="14" fillId="15"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71" fontId="7" fillId="22" borderId="1" xfId="0" applyFont="true" applyBorder="true" applyAlignment="true" applyProtection="true">
      <alignment horizontal="general"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6" fontId="7" fillId="15" borderId="11" xfId="0" applyFont="true" applyBorder="true" applyAlignment="true" applyProtection="true">
      <alignment horizontal="general" vertical="bottom" textRotation="0" wrapText="false" indent="0" shrinkToFit="false"/>
      <protection locked="true" hidden="false"/>
    </xf>
    <xf numFmtId="167" fontId="7" fillId="0" borderId="11" xfId="0" applyFont="true" applyBorder="true" applyAlignment="true" applyProtection="true">
      <alignment horizontal="center" vertical="bottom" textRotation="0" wrapText="false" indent="0" shrinkToFit="false"/>
      <protection locked="true" hidden="false"/>
    </xf>
    <xf numFmtId="166" fontId="12" fillId="25" borderId="11" xfId="0" applyFont="true" applyBorder="true" applyAlignment="true" applyProtection="true">
      <alignment horizontal="right" vertical="bottom" textRotation="0" wrapText="false" indent="0" shrinkToFit="false"/>
      <protection locked="true" hidden="false"/>
    </xf>
    <xf numFmtId="166" fontId="12" fillId="25"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right" vertical="bottom" textRotation="0" wrapText="false" indent="0" shrinkToFit="false"/>
      <protection locked="true" hidden="false"/>
    </xf>
    <xf numFmtId="164" fontId="7" fillId="27" borderId="11" xfId="0" applyFont="true" applyBorder="true" applyAlignment="true" applyProtection="true">
      <alignment horizontal="general" vertical="bottom" textRotation="0" wrapText="false" indent="0" shrinkToFit="false"/>
      <protection locked="true" hidden="false"/>
    </xf>
    <xf numFmtId="169" fontId="7" fillId="0" borderId="11"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8" fontId="7" fillId="0" borderId="11" xfId="0" applyFont="true" applyBorder="true" applyAlignment="true" applyProtection="true">
      <alignment horizontal="center" vertical="bottom" textRotation="0" wrapText="false" indent="0" shrinkToFit="false"/>
      <protection locked="true" hidden="false"/>
    </xf>
    <xf numFmtId="170" fontId="7" fillId="0" borderId="11" xfId="0" applyFont="true" applyBorder="true" applyAlignment="true" applyProtection="true">
      <alignment horizontal="general" vertical="bottom" textRotation="0" wrapText="false" indent="0" shrinkToFit="false"/>
      <protection locked="true" hidden="false"/>
    </xf>
    <xf numFmtId="171" fontId="7" fillId="0" borderId="11" xfId="0" applyFont="true" applyBorder="true" applyAlignment="true" applyProtection="true">
      <alignment horizontal="general" vertical="bottom" textRotation="0" wrapText="false" indent="0" shrinkToFit="false"/>
      <protection locked="true" hidden="false"/>
    </xf>
    <xf numFmtId="164" fontId="15" fillId="0" borderId="12" xfId="0" applyFont="true" applyBorder="true" applyAlignment="true" applyProtection="true">
      <alignment horizontal="general" vertical="bottom" textRotation="0" wrapText="false" indent="0" shrinkToFit="false"/>
      <protection locked="true" hidden="false"/>
    </xf>
    <xf numFmtId="165" fontId="12" fillId="7" borderId="12" xfId="0" applyFont="true" applyBorder="true" applyAlignment="true" applyProtection="true">
      <alignment horizontal="right" vertical="bottom" textRotation="0" wrapText="false" indent="0" shrinkToFit="false"/>
      <protection locked="true" hidden="false"/>
    </xf>
    <xf numFmtId="166" fontId="12" fillId="15" borderId="12" xfId="0" applyFont="true" applyBorder="true" applyAlignment="true" applyProtection="true">
      <alignment horizontal="right" vertical="bottom" textRotation="0" wrapText="false" indent="0" shrinkToFit="false"/>
      <protection locked="true" hidden="false"/>
    </xf>
    <xf numFmtId="167" fontId="12" fillId="29" borderId="12" xfId="0" applyFont="true" applyBorder="true" applyAlignment="true" applyProtection="true">
      <alignment horizontal="center" vertical="bottom" textRotation="0" wrapText="false" indent="0" shrinkToFit="false"/>
      <protection locked="true" hidden="false"/>
    </xf>
    <xf numFmtId="166" fontId="12" fillId="30" borderId="12" xfId="0" applyFont="true" applyBorder="true" applyAlignment="true" applyProtection="true">
      <alignment horizontal="right" vertical="bottom" textRotation="0" wrapText="false" indent="0" shrinkToFit="false"/>
      <protection locked="true" hidden="false"/>
    </xf>
    <xf numFmtId="166" fontId="12" fillId="31" borderId="12" xfId="0" applyFont="true" applyBorder="true" applyAlignment="true" applyProtection="true">
      <alignment horizontal="right" vertical="bottom" textRotation="0" wrapText="false" indent="0" shrinkToFit="false"/>
      <protection locked="true" hidden="false"/>
    </xf>
    <xf numFmtId="164" fontId="12" fillId="0" borderId="12" xfId="0" applyFont="true" applyBorder="true" applyAlignment="true" applyProtection="true">
      <alignment horizontal="general" vertical="bottom" textRotation="0" wrapText="false" indent="0" shrinkToFit="false"/>
      <protection locked="true" hidden="false"/>
    </xf>
    <xf numFmtId="164" fontId="12" fillId="0" borderId="12" xfId="0" applyFont="true" applyBorder="true" applyAlignment="true" applyProtection="true">
      <alignment horizontal="right" vertical="bottom" textRotation="0" wrapText="false" indent="0" shrinkToFit="false"/>
      <protection locked="true" hidden="false"/>
    </xf>
    <xf numFmtId="164" fontId="12" fillId="28" borderId="12" xfId="0" applyFont="true" applyBorder="true" applyAlignment="true" applyProtection="true">
      <alignment horizontal="right" vertical="bottom" textRotation="0" wrapText="false" indent="0" shrinkToFit="false"/>
      <protection locked="true" hidden="false"/>
    </xf>
    <xf numFmtId="169" fontId="12" fillId="0" borderId="12" xfId="0" applyFont="true" applyBorder="true" applyAlignment="true" applyProtection="true">
      <alignment horizontal="right" vertical="bottom" textRotation="0" wrapText="false" indent="0" shrinkToFit="false"/>
      <protection locked="true" hidden="false"/>
    </xf>
    <xf numFmtId="168" fontId="12" fillId="0" borderId="12" xfId="0" applyFont="true" applyBorder="true" applyAlignment="true" applyProtection="true">
      <alignment horizontal="general" vertical="bottom" textRotation="0" wrapText="false" indent="0" shrinkToFit="false"/>
      <protection locked="true" hidden="false"/>
    </xf>
    <xf numFmtId="173" fontId="12" fillId="0" borderId="12" xfId="0" applyFont="true" applyBorder="true" applyAlignment="true" applyProtection="true">
      <alignment horizontal="center" vertical="bottom" textRotation="0" wrapText="false" indent="0" shrinkToFit="false"/>
      <protection locked="true" hidden="false"/>
    </xf>
    <xf numFmtId="170" fontId="12" fillId="0" borderId="12" xfId="0" applyFont="true" applyBorder="true" applyAlignment="true" applyProtection="true">
      <alignment horizontal="right" vertical="bottom" textRotation="0" wrapText="false" indent="0" shrinkToFit="false"/>
      <protection locked="true" hidden="false"/>
    </xf>
    <xf numFmtId="171" fontId="12" fillId="0" borderId="12" xfId="0" applyFont="true" applyBorder="true" applyAlignment="true" applyProtection="true">
      <alignment horizontal="right" vertical="bottom" textRotation="0" wrapText="false" indent="0" shrinkToFit="false"/>
      <protection locked="true" hidden="false"/>
    </xf>
    <xf numFmtId="164" fontId="7" fillId="5" borderId="1" xfId="0" applyFont="true" applyBorder="true" applyAlignment="true" applyProtection="true">
      <alignment horizontal="general" vertical="bottom" textRotation="0" wrapText="false" indent="0" shrinkToFit="false"/>
      <protection locked="true" hidden="false"/>
    </xf>
    <xf numFmtId="166" fontId="12" fillId="0" borderId="8" xfId="0" applyFont="true" applyBorder="true" applyAlignment="true" applyProtection="true">
      <alignment horizontal="general" vertical="bottom" textRotation="0" wrapText="false" indent="0" shrinkToFit="false"/>
      <protection locked="true" hidden="false"/>
    </xf>
    <xf numFmtId="164" fontId="7" fillId="5" borderId="2" xfId="0" applyFont="true" applyBorder="true" applyAlignment="true" applyProtection="true">
      <alignment horizontal="general" vertical="bottom" textRotation="0" wrapText="false" indent="0" shrinkToFit="false"/>
      <protection locked="true" hidden="false"/>
    </xf>
    <xf numFmtId="164" fontId="16" fillId="15" borderId="1" xfId="0" applyFont="true" applyBorder="true" applyAlignment="true" applyProtection="true">
      <alignment horizontal="general" vertical="bottom" textRotation="0" wrapText="false" indent="0" shrinkToFit="false"/>
      <protection locked="true" hidden="false"/>
    </xf>
    <xf numFmtId="165" fontId="12" fillId="7" borderId="7" xfId="0" applyFont="true" applyBorder="true" applyAlignment="true" applyProtection="true">
      <alignment horizontal="right" vertical="bottom" textRotation="0" wrapText="false" indent="0" shrinkToFit="false"/>
      <protection locked="true" hidden="false"/>
    </xf>
    <xf numFmtId="166" fontId="12" fillId="15" borderId="7" xfId="0" applyFont="true" applyBorder="true" applyAlignment="true" applyProtection="true">
      <alignment horizontal="right" vertical="bottom" textRotation="0" wrapText="false" indent="0" shrinkToFit="false"/>
      <protection locked="true" hidden="false"/>
    </xf>
    <xf numFmtId="167" fontId="12" fillId="32" borderId="7" xfId="0" applyFont="true" applyBorder="true" applyAlignment="true" applyProtection="true">
      <alignment horizontal="center" vertical="bottom" textRotation="0" wrapText="false" indent="0" shrinkToFit="false"/>
      <protection locked="true" hidden="false"/>
    </xf>
    <xf numFmtId="166" fontId="12" fillId="33" borderId="7" xfId="0" applyFont="true" applyBorder="true" applyAlignment="true" applyProtection="true">
      <alignment horizontal="right" vertical="bottom" textRotation="0" wrapText="false" indent="0" shrinkToFit="false"/>
      <protection locked="true" hidden="false"/>
    </xf>
    <xf numFmtId="166" fontId="12" fillId="34" borderId="7" xfId="0" applyFont="true" applyBorder="true" applyAlignment="true" applyProtection="true">
      <alignment horizontal="right" vertical="bottom" textRotation="0" wrapText="false" indent="0" shrinkToFit="false"/>
      <protection locked="true" hidden="false"/>
    </xf>
    <xf numFmtId="168" fontId="12" fillId="0" borderId="7" xfId="0" applyFont="true" applyBorder="true" applyAlignment="true" applyProtection="true">
      <alignment horizontal="general" vertical="bottom" textRotation="0" wrapText="false" indent="0" shrinkToFit="false"/>
      <protection locked="true" hidden="false"/>
    </xf>
    <xf numFmtId="164" fontId="12" fillId="0" borderId="7" xfId="0" applyFont="true" applyBorder="true" applyAlignment="true" applyProtection="true">
      <alignment horizontal="right" vertical="bottom" textRotation="0" wrapText="false" indent="0" shrinkToFit="false"/>
      <protection locked="true" hidden="false"/>
    </xf>
    <xf numFmtId="174" fontId="12" fillId="27" borderId="7" xfId="0" applyFont="true" applyBorder="true" applyAlignment="true" applyProtection="true">
      <alignment horizontal="right" vertical="bottom" textRotation="0" wrapText="false" indent="0" shrinkToFit="false"/>
      <protection locked="true" hidden="false"/>
    </xf>
    <xf numFmtId="169" fontId="12" fillId="0" borderId="7" xfId="0" applyFont="true" applyBorder="true" applyAlignment="true" applyProtection="true">
      <alignment horizontal="right" vertical="bottom" textRotation="0" wrapText="false" indent="0" shrinkToFit="false"/>
      <protection locked="true" hidden="false"/>
    </xf>
    <xf numFmtId="168" fontId="12" fillId="0" borderId="7" xfId="0" applyFont="true" applyBorder="true" applyAlignment="true" applyProtection="true">
      <alignment horizontal="center" vertical="bottom" textRotation="0" wrapText="false" indent="0" shrinkToFit="false"/>
      <protection locked="true" hidden="false"/>
    </xf>
    <xf numFmtId="164" fontId="12" fillId="0" borderId="7" xfId="0" applyFont="true" applyBorder="true" applyAlignment="true" applyProtection="true">
      <alignment horizontal="general" vertical="bottom" textRotation="0" wrapText="false" indent="0" shrinkToFit="false"/>
      <protection locked="true" hidden="false"/>
    </xf>
    <xf numFmtId="170" fontId="12" fillId="0" borderId="7" xfId="0" applyFont="true" applyBorder="true" applyAlignment="true" applyProtection="true">
      <alignment horizontal="right" vertical="bottom" textRotation="0" wrapText="false" indent="0" shrinkToFit="false"/>
      <protection locked="true" hidden="false"/>
    </xf>
    <xf numFmtId="171" fontId="12" fillId="0" borderId="7" xfId="0" applyFont="true" applyBorder="true" applyAlignment="true" applyProtection="true">
      <alignment horizontal="right" vertical="bottom" textRotation="0" wrapText="false" indent="0" shrinkToFit="false"/>
      <protection locked="true" hidden="false"/>
    </xf>
    <xf numFmtId="164" fontId="17" fillId="0" borderId="7"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6" fontId="12" fillId="33" borderId="9" xfId="0" applyFont="true" applyBorder="true" applyAlignment="true" applyProtection="true">
      <alignment horizontal="right" vertical="bottom" textRotation="0" wrapText="false" indent="0" shrinkToFit="false"/>
      <protection locked="true" hidden="false"/>
    </xf>
    <xf numFmtId="166" fontId="12" fillId="34" borderId="9" xfId="0" applyFont="true" applyBorder="true" applyAlignment="true" applyProtection="true">
      <alignment horizontal="right" vertical="bottom" textRotation="0" wrapText="false" indent="0" shrinkToFit="false"/>
      <protection locked="true" hidden="false"/>
    </xf>
    <xf numFmtId="164" fontId="7" fillId="12" borderId="2" xfId="0" applyFont="true" applyBorder="true" applyAlignment="true" applyProtection="true">
      <alignment horizontal="right" vertical="bottom" textRotation="0" wrapText="false" indent="0" shrinkToFit="false"/>
      <protection locked="true" hidden="false"/>
    </xf>
    <xf numFmtId="166" fontId="12" fillId="25" borderId="5" xfId="0" applyFont="true" applyBorder="true" applyAlignment="true" applyProtection="true">
      <alignment horizontal="right" vertical="bottom" textRotation="0" wrapText="false" indent="0" shrinkToFit="false"/>
      <protection locked="true" hidden="false"/>
    </xf>
    <xf numFmtId="166" fontId="12" fillId="0" borderId="11" xfId="0" applyFont="true" applyBorder="true" applyAlignment="true" applyProtection="true">
      <alignment horizontal="general" vertical="bottom" textRotation="0" wrapText="false" indent="0" shrinkToFit="false"/>
      <protection locked="true" hidden="false"/>
    </xf>
    <xf numFmtId="164" fontId="7" fillId="12" borderId="5" xfId="0" applyFont="true" applyBorder="true" applyAlignment="true" applyProtection="true">
      <alignment horizontal="right" vertical="bottom" textRotation="0" wrapText="false" indent="0" shrinkToFit="false"/>
      <protection locked="true" hidden="false"/>
    </xf>
    <xf numFmtId="164" fontId="7" fillId="5" borderId="5" xfId="0" applyFont="true" applyBorder="true" applyAlignment="true" applyProtection="true">
      <alignment horizontal="general" vertical="bottom" textRotation="0" wrapText="false" indent="0" shrinkToFit="false"/>
      <protection locked="true" hidden="false"/>
    </xf>
    <xf numFmtId="175" fontId="7" fillId="0" borderId="5" xfId="0" applyFont="true" applyBorder="true" applyAlignment="true" applyProtection="true">
      <alignment horizontal="general" vertical="bottom" textRotation="0" wrapText="false" indent="0" shrinkToFit="false"/>
      <protection locked="true" hidden="false"/>
    </xf>
    <xf numFmtId="167" fontId="7" fillId="35" borderId="4" xfId="0" applyFont="true" applyBorder="true" applyAlignment="true" applyProtection="true">
      <alignment horizontal="center" vertical="bottom" textRotation="0" wrapText="false" indent="0" shrinkToFit="false"/>
      <protection locked="true" hidden="false"/>
    </xf>
    <xf numFmtId="164" fontId="7" fillId="36" borderId="4" xfId="0" applyFont="true" applyBorder="true" applyAlignment="true" applyProtection="true">
      <alignment horizontal="right" vertical="bottom" textRotation="0" wrapText="false" indent="0" shrinkToFit="false"/>
      <protection locked="true" hidden="false"/>
    </xf>
    <xf numFmtId="174" fontId="7" fillId="35" borderId="1" xfId="0" applyFont="true" applyBorder="true" applyAlignment="true" applyProtection="true">
      <alignment horizontal="general" vertical="bottom" textRotation="0" wrapText="false" indent="0" shrinkToFit="false"/>
      <protection locked="true" hidden="false"/>
    </xf>
    <xf numFmtId="164" fontId="18" fillId="15" borderId="0" xfId="0" applyFont="true" applyBorder="fals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general" vertical="bottom" textRotation="0" wrapText="false" indent="0" shrinkToFit="false"/>
      <protection locked="true" hidden="false"/>
    </xf>
    <xf numFmtId="165" fontId="12" fillId="13" borderId="7" xfId="0" applyFont="true" applyBorder="true" applyAlignment="true" applyProtection="true">
      <alignment horizontal="right" vertical="bottom" textRotation="0" wrapText="false" indent="0" shrinkToFit="false"/>
      <protection locked="true" hidden="false"/>
    </xf>
    <xf numFmtId="166" fontId="12" fillId="37" borderId="7" xfId="0" applyFont="true" applyBorder="true" applyAlignment="true" applyProtection="true">
      <alignment horizontal="right" vertical="bottom" textRotation="0" wrapText="false" indent="0" shrinkToFit="false"/>
      <protection locked="true" hidden="false"/>
    </xf>
    <xf numFmtId="166" fontId="12" fillId="38" borderId="7" xfId="0" applyFont="true" applyBorder="true" applyAlignment="true" applyProtection="true">
      <alignment horizontal="right" vertical="bottom" textRotation="0" wrapText="false" indent="0" shrinkToFit="false"/>
      <protection locked="true" hidden="false"/>
    </xf>
    <xf numFmtId="164" fontId="12" fillId="23" borderId="7" xfId="0" applyFont="true" applyBorder="true" applyAlignment="true" applyProtection="true">
      <alignment horizontal="right" vertical="bottom" textRotation="0" wrapText="false" indent="0" shrinkToFit="false"/>
      <protection locked="true" hidden="false"/>
    </xf>
    <xf numFmtId="169" fontId="12" fillId="0" borderId="7" xfId="0" applyFont="true" applyBorder="true" applyAlignment="true" applyProtection="true">
      <alignment horizontal="general" vertical="bottom" textRotation="0" wrapText="false" indent="0" shrinkToFit="false"/>
      <protection locked="true" hidden="false"/>
    </xf>
    <xf numFmtId="171" fontId="12" fillId="26" borderId="13" xfId="0" applyFont="true" applyBorder="true" applyAlignment="true" applyProtection="true">
      <alignment horizontal="right" vertical="bottom" textRotation="0" wrapText="false" indent="0" shrinkToFit="false"/>
      <protection locked="true" hidden="false"/>
    </xf>
    <xf numFmtId="171" fontId="12" fillId="0" borderId="12" xfId="0" applyFont="true" applyBorder="true" applyAlignment="true" applyProtection="true">
      <alignment horizontal="general" vertical="bottom" textRotation="0" wrapText="false" indent="0" shrinkToFit="false"/>
      <protection locked="true" hidden="false"/>
    </xf>
    <xf numFmtId="171" fontId="7" fillId="9" borderId="2" xfId="0" applyFont="true" applyBorder="true" applyAlignment="true" applyProtection="true">
      <alignment horizontal="general" vertical="bottom" textRotation="0" wrapText="false" indent="0" shrinkToFit="false"/>
      <protection locked="true" hidden="false"/>
    </xf>
    <xf numFmtId="167" fontId="7" fillId="22" borderId="4" xfId="0" applyFont="true" applyBorder="true" applyAlignment="true" applyProtection="true">
      <alignment horizontal="center" vertical="bottom" textRotation="0" wrapText="false" indent="0" shrinkToFit="false"/>
      <protection locked="true" hidden="false"/>
    </xf>
    <xf numFmtId="164" fontId="7" fillId="39" borderId="1" xfId="0" applyFont="true" applyBorder="true" applyAlignment="true" applyProtection="true">
      <alignment horizontal="right" vertical="bottom" textRotation="0" wrapText="false" indent="0" shrinkToFit="false"/>
      <protection locked="true" hidden="false"/>
    </xf>
    <xf numFmtId="164" fontId="20" fillId="0" borderId="14" xfId="0" applyFont="true" applyBorder="true" applyAlignment="true" applyProtection="true">
      <alignment horizontal="general" vertical="bottom" textRotation="0" wrapText="false" indent="0" shrinkToFit="false"/>
      <protection locked="true" hidden="false"/>
    </xf>
    <xf numFmtId="165" fontId="12" fillId="0" borderId="14" xfId="0" applyFont="true" applyBorder="true" applyAlignment="true" applyProtection="true">
      <alignment horizontal="general" vertical="bottom" textRotation="0" wrapText="false" indent="0" shrinkToFit="false"/>
      <protection locked="true" hidden="false"/>
    </xf>
    <xf numFmtId="166" fontId="12" fillId="15" borderId="14" xfId="0" applyFont="true" applyBorder="true" applyAlignment="true" applyProtection="true">
      <alignment horizontal="right" vertical="bottom" textRotation="0" wrapText="false" indent="0" shrinkToFit="false"/>
      <protection locked="true" hidden="false"/>
    </xf>
    <xf numFmtId="167" fontId="12" fillId="32" borderId="14" xfId="0" applyFont="true" applyBorder="true" applyAlignment="true" applyProtection="true">
      <alignment horizontal="center" vertical="bottom" textRotation="0" wrapText="false" indent="0" shrinkToFit="false"/>
      <protection locked="true" hidden="false"/>
    </xf>
    <xf numFmtId="166" fontId="12" fillId="40" borderId="14" xfId="0" applyFont="true" applyBorder="true" applyAlignment="true" applyProtection="true">
      <alignment horizontal="right" vertical="bottom" textRotation="0" wrapText="false" indent="0" shrinkToFit="false"/>
      <protection locked="true" hidden="false"/>
    </xf>
    <xf numFmtId="166" fontId="12" fillId="41" borderId="14" xfId="0" applyFont="true" applyBorder="true" applyAlignment="true" applyProtection="true">
      <alignment horizontal="right" vertical="bottom" textRotation="0" wrapText="false" indent="0" shrinkToFit="false"/>
      <protection locked="true" hidden="false"/>
    </xf>
    <xf numFmtId="168" fontId="12" fillId="0" borderId="14" xfId="0" applyFont="true" applyBorder="true" applyAlignment="true" applyProtection="true">
      <alignment horizontal="general" vertical="bottom" textRotation="0" wrapText="false" indent="0" shrinkToFit="false"/>
      <protection locked="true" hidden="false"/>
    </xf>
    <xf numFmtId="164" fontId="12" fillId="0" borderId="14" xfId="0" applyFont="true" applyBorder="true" applyAlignment="true" applyProtection="true">
      <alignment horizontal="right" vertical="bottom" textRotation="0" wrapText="false" indent="0" shrinkToFit="false"/>
      <protection locked="true" hidden="false"/>
    </xf>
    <xf numFmtId="164" fontId="7" fillId="0" borderId="10" xfId="0" applyFont="true" applyBorder="true" applyAlignment="true" applyProtection="true">
      <alignment horizontal="general" vertical="bottom" textRotation="0" wrapText="false" indent="0" shrinkToFit="false"/>
      <protection locked="true" hidden="false"/>
    </xf>
    <xf numFmtId="169" fontId="7" fillId="0" borderId="10" xfId="0" applyFont="true" applyBorder="true" applyAlignment="true" applyProtection="true">
      <alignment horizontal="general" vertical="bottom" textRotation="0" wrapText="false" indent="0" shrinkToFit="false"/>
      <protection locked="true" hidden="false"/>
    </xf>
    <xf numFmtId="168" fontId="7" fillId="0" borderId="10" xfId="0" applyFont="true" applyBorder="true" applyAlignment="true" applyProtection="true">
      <alignment horizontal="general" vertical="bottom" textRotation="0" wrapText="false" indent="0" shrinkToFit="false"/>
      <protection locked="true" hidden="false"/>
    </xf>
    <xf numFmtId="173" fontId="7" fillId="0" borderId="10" xfId="0" applyFont="true" applyBorder="true" applyAlignment="true" applyProtection="true">
      <alignment horizontal="center" vertical="bottom" textRotation="0" wrapText="false" indent="0" shrinkToFit="false"/>
      <protection locked="true" hidden="false"/>
    </xf>
    <xf numFmtId="171" fontId="7" fillId="22" borderId="11" xfId="0" applyFont="true" applyBorder="true" applyAlignment="true" applyProtection="true">
      <alignment horizontal="general" vertical="bottom" textRotation="0" wrapText="false" indent="0" shrinkToFit="false"/>
      <protection locked="true" hidden="false"/>
    </xf>
    <xf numFmtId="164" fontId="11" fillId="0" borderId="10" xfId="0" applyFont="true" applyBorder="true" applyAlignment="true" applyProtection="true">
      <alignment horizontal="general" vertical="bottom" textRotation="0" wrapText="false" indent="0" shrinkToFit="false"/>
      <protection locked="tru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7" fillId="35" borderId="2" xfId="0" applyFont="true" applyBorder="true" applyAlignment="true" applyProtection="true">
      <alignment horizontal="general" vertical="bottom" textRotation="0" wrapText="false" indent="0" shrinkToFit="false"/>
      <protection locked="true" hidden="false"/>
    </xf>
    <xf numFmtId="171" fontId="7" fillId="26" borderId="4" xfId="0" applyFont="true" applyBorder="true" applyAlignment="true" applyProtection="true">
      <alignment horizontal="general" vertical="bottom" textRotation="0" wrapText="false" indent="0" shrinkToFit="false"/>
      <protection locked="true" hidden="false"/>
    </xf>
    <xf numFmtId="164" fontId="7" fillId="27" borderId="2" xfId="0" applyFont="true" applyBorder="true" applyAlignment="true" applyProtection="true">
      <alignment horizontal="general" vertical="bottom" textRotation="0" wrapText="false" indent="0" shrinkToFit="false"/>
      <protection locked="true" hidden="false"/>
    </xf>
    <xf numFmtId="167" fontId="7" fillId="22" borderId="5" xfId="0" applyFont="true" applyBorder="true" applyAlignment="true" applyProtection="true">
      <alignment horizontal="center" vertical="bottom" textRotation="0" wrapText="false" indent="0" shrinkToFit="false"/>
      <protection locked="true" hidden="false"/>
    </xf>
    <xf numFmtId="170" fontId="7" fillId="0" borderId="10" xfId="0" applyFont="true" applyBorder="true" applyAlignment="true" applyProtection="true">
      <alignment horizontal="general" vertical="bottom" textRotation="0" wrapText="false" indent="0" shrinkToFit="false"/>
      <protection locked="true" hidden="false"/>
    </xf>
    <xf numFmtId="164" fontId="7" fillId="18" borderId="2" xfId="0" applyFont="true" applyBorder="true" applyAlignment="true" applyProtection="true">
      <alignment horizontal="general" vertical="bottom" textRotation="0" wrapText="false" indent="0" shrinkToFit="false"/>
      <protection locked="true" hidden="false"/>
    </xf>
    <xf numFmtId="171" fontId="7" fillId="26" borderId="2" xfId="0" applyFont="true" applyBorder="true" applyAlignment="true" applyProtection="true">
      <alignment horizontal="general" vertical="bottom" textRotation="0" wrapText="false" indent="0" shrinkToFit="false"/>
      <protection locked="true" hidden="false"/>
    </xf>
    <xf numFmtId="173" fontId="7" fillId="0" borderId="6" xfId="0" applyFont="true" applyBorder="true" applyAlignment="true" applyProtection="true">
      <alignment horizontal="center"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7" fillId="28" borderId="6" xfId="0" applyFont="true" applyBorder="true" applyAlignment="true" applyProtection="true">
      <alignment horizontal="general" vertical="bottom" textRotation="0" wrapText="false" indent="0" shrinkToFit="false"/>
      <protection locked="true" hidden="false"/>
    </xf>
    <xf numFmtId="170" fontId="7" fillId="0" borderId="3" xfId="0" applyFont="true" applyBorder="true" applyAlignment="true" applyProtection="true">
      <alignment horizontal="general" vertical="bottom" textRotation="0" wrapText="false" indent="0" shrinkToFit="false"/>
      <protection locked="true" hidden="false"/>
    </xf>
    <xf numFmtId="170" fontId="7" fillId="0" borderId="0" xfId="0" applyFont="true" applyBorder="false" applyAlignment="true" applyProtection="true">
      <alignment horizontal="general" vertical="bottom" textRotation="0" wrapText="false" indent="0" shrinkToFit="false"/>
      <protection locked="true" hidden="false"/>
    </xf>
    <xf numFmtId="164" fontId="7" fillId="18" borderId="4" xfId="0" applyFont="true" applyBorder="true" applyAlignment="true" applyProtection="true">
      <alignment horizontal="general" vertical="bottom" textRotation="0" wrapText="false" indent="0" shrinkToFit="false"/>
      <protection locked="true" hidden="false"/>
    </xf>
    <xf numFmtId="171" fontId="7" fillId="9" borderId="4" xfId="0" applyFont="true" applyBorder="true" applyAlignment="true" applyProtection="true">
      <alignment horizontal="general" vertical="bottom" textRotation="0" wrapText="false" indent="0" shrinkToFit="false"/>
      <protection locked="true" hidden="false"/>
    </xf>
    <xf numFmtId="164" fontId="21" fillId="15" borderId="0" xfId="0" applyFont="true" applyBorder="false" applyAlignment="true" applyProtection="true">
      <alignment horizontal="general" vertical="bottom" textRotation="0" wrapText="false" indent="0" shrinkToFit="false"/>
      <protection locked="true" hidden="false"/>
    </xf>
    <xf numFmtId="166" fontId="12" fillId="0" borderId="4" xfId="0" applyFont="true" applyBorder="true" applyAlignment="true" applyProtection="true">
      <alignment horizontal="right" vertical="bottom" textRotation="0" wrapText="false" indent="0" shrinkToFit="false"/>
      <protection locked="true" hidden="false"/>
    </xf>
    <xf numFmtId="171" fontId="7" fillId="9" borderId="1" xfId="0" applyFont="true" applyBorder="true" applyAlignment="true" applyProtection="true">
      <alignment horizontal="general" vertical="bottom" textRotation="0" wrapText="false" indent="0" shrinkToFit="false"/>
      <protection locked="true" hidden="false"/>
    </xf>
    <xf numFmtId="164" fontId="4" fillId="15"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6" fontId="7" fillId="15" borderId="10" xfId="0" applyFont="true" applyBorder="true" applyAlignment="true" applyProtection="true">
      <alignment horizontal="general" vertical="bottom" textRotation="0" wrapText="false" indent="0" shrinkToFit="false"/>
      <protection locked="true" hidden="false"/>
    </xf>
    <xf numFmtId="167" fontId="7" fillId="0" borderId="10" xfId="0" applyFont="true" applyBorder="true" applyAlignment="true" applyProtection="true">
      <alignment horizontal="center" vertical="bottom" textRotation="0" wrapText="false" indent="0" shrinkToFit="false"/>
      <protection locked="true" hidden="false"/>
    </xf>
    <xf numFmtId="164" fontId="7" fillId="0" borderId="10" xfId="0" applyFont="true" applyBorder="true" applyAlignment="true" applyProtection="true">
      <alignment horizontal="right" vertical="bottom" textRotation="0" wrapText="false" indent="0" shrinkToFit="false"/>
      <protection locked="true" hidden="false"/>
    </xf>
    <xf numFmtId="174" fontId="7" fillId="27" borderId="10" xfId="0" applyFont="true" applyBorder="true" applyAlignment="true" applyProtection="true">
      <alignment horizontal="general" vertical="bottom" textRotation="0" wrapText="false" indent="0" shrinkToFit="false"/>
      <protection locked="true" hidden="false"/>
    </xf>
    <xf numFmtId="164" fontId="7" fillId="5" borderId="1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76" fontId="7" fillId="0" borderId="5" xfId="0" applyFont="true" applyBorder="true" applyAlignment="true" applyProtection="true">
      <alignment horizontal="general" vertical="bottom" textRotation="0" wrapText="false" indent="0" shrinkToFit="false"/>
      <protection locked="true" hidden="false"/>
    </xf>
    <xf numFmtId="164" fontId="7" fillId="8" borderId="1" xfId="0" applyFont="true" applyBorder="true" applyAlignment="true" applyProtection="true">
      <alignment horizontal="right" vertical="bottom" textRotation="0" wrapText="false" indent="0" shrinkToFit="false"/>
      <protection locked="true" hidden="false"/>
    </xf>
    <xf numFmtId="164" fontId="22" fillId="15" borderId="1" xfId="0" applyFont="true" applyBorder="true" applyAlignment="true" applyProtection="true">
      <alignment horizontal="general" vertical="bottom" textRotation="0" wrapText="false" indent="0" shrinkToFit="false"/>
      <protection locked="true" hidden="false"/>
    </xf>
    <xf numFmtId="167" fontId="23" fillId="42" borderId="7" xfId="0" applyFont="true" applyBorder="true" applyAlignment="true" applyProtection="true">
      <alignment horizontal="center" vertical="bottom" textRotation="0" wrapText="false" indent="0" shrinkToFit="false"/>
      <protection locked="true" hidden="false"/>
    </xf>
    <xf numFmtId="166" fontId="12" fillId="43" borderId="7" xfId="0" applyFont="true" applyBorder="true" applyAlignment="true" applyProtection="true">
      <alignment horizontal="right" vertical="bottom" textRotation="0" wrapText="false" indent="0" shrinkToFit="false"/>
      <protection locked="true" hidden="false"/>
    </xf>
    <xf numFmtId="166" fontId="12" fillId="44" borderId="7" xfId="0" applyFont="true" applyBorder="true" applyAlignment="true" applyProtection="true">
      <alignment horizontal="right" vertical="bottom" textRotation="0" wrapText="false" indent="0" shrinkToFit="false"/>
      <protection locked="true" hidden="false"/>
    </xf>
    <xf numFmtId="173" fontId="12" fillId="0" borderId="7" xfId="0" applyFont="true" applyBorder="true" applyAlignment="true" applyProtection="true">
      <alignment horizontal="center" vertical="bottom" textRotation="0" wrapText="false" indent="0" shrinkToFit="false"/>
      <protection locked="true" hidden="false"/>
    </xf>
    <xf numFmtId="171" fontId="12" fillId="0" borderId="7" xfId="0" applyFont="true" applyBorder="true" applyAlignment="true" applyProtection="true">
      <alignment horizontal="general" vertical="bottom" textRotation="0" wrapText="false" indent="0" shrinkToFit="false"/>
      <protection locked="true" hidden="false"/>
    </xf>
    <xf numFmtId="164" fontId="24" fillId="0" borderId="7"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6" fontId="7" fillId="15" borderId="15" xfId="0" applyFont="true" applyBorder="true" applyAlignment="true" applyProtection="true">
      <alignment horizontal="general" vertical="bottom" textRotation="0" wrapText="false" indent="0" shrinkToFit="false"/>
      <protection locked="tru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right" vertical="bottom" textRotation="0" wrapText="false" indent="0" shrinkToFit="false"/>
      <protection locked="true" hidden="false"/>
    </xf>
    <xf numFmtId="169" fontId="7" fillId="0" borderId="15" xfId="0" applyFont="true" applyBorder="true" applyAlignment="true" applyProtection="true">
      <alignment horizontal="general" vertical="bottom" textRotation="0" wrapText="false" indent="0" shrinkToFit="false"/>
      <protection locked="true" hidden="false"/>
    </xf>
    <xf numFmtId="168" fontId="7" fillId="0" borderId="15" xfId="0" applyFont="true" applyBorder="true" applyAlignment="true" applyProtection="true">
      <alignment horizontal="general" vertical="bottom" textRotation="0" wrapText="false" indent="0" shrinkToFit="false"/>
      <protection locked="true" hidden="false"/>
    </xf>
    <xf numFmtId="173" fontId="7" fillId="0" borderId="15" xfId="0" applyFont="true" applyBorder="true" applyAlignment="true" applyProtection="true">
      <alignment horizontal="center" vertical="bottom" textRotation="0" wrapText="false" indent="0" shrinkToFit="false"/>
      <protection locked="true" hidden="false"/>
    </xf>
    <xf numFmtId="176" fontId="7" fillId="0" borderId="15" xfId="0" applyFont="true" applyBorder="true" applyAlignment="true" applyProtection="true">
      <alignment horizontal="general" vertical="bottom" textRotation="0" wrapText="false" indent="0" shrinkToFit="false"/>
      <protection locked="true" hidden="false"/>
    </xf>
    <xf numFmtId="171" fontId="7"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4" fontId="10" fillId="0" borderId="15" xfId="0" applyFont="true" applyBorder="true" applyAlignment="true" applyProtection="true">
      <alignment horizontal="general" vertical="bottom" textRotation="0" wrapText="false" indent="0" shrinkToFit="false"/>
      <protection locked="true" hidden="false"/>
    </xf>
    <xf numFmtId="164" fontId="7" fillId="18" borderId="6" xfId="0" applyFont="true" applyBorder="true" applyAlignment="true" applyProtection="true">
      <alignment horizontal="general" vertical="bottom" textRotation="0" wrapText="false" indent="0" shrinkToFit="false"/>
      <protection locked="true" hidden="false"/>
    </xf>
    <xf numFmtId="164" fontId="7" fillId="5" borderId="6" xfId="0" applyFont="true" applyBorder="true" applyAlignment="true" applyProtection="true">
      <alignment horizontal="general" vertical="bottom" textRotation="0" wrapText="false" indent="0" shrinkToFit="false"/>
      <protection locked="true" hidden="false"/>
    </xf>
    <xf numFmtId="164" fontId="7" fillId="35" borderId="4" xfId="0" applyFont="true" applyBorder="true" applyAlignment="true" applyProtection="true">
      <alignment horizontal="general" vertical="bottom" textRotation="0" wrapText="false" indent="0" shrinkToFit="false"/>
      <protection locked="true" hidden="false"/>
    </xf>
    <xf numFmtId="164" fontId="7" fillId="18" borderId="1" xfId="0" applyFont="true" applyBorder="true" applyAlignment="true" applyProtection="true">
      <alignment horizontal="general" vertical="bottom" textRotation="0" wrapText="false" indent="0" shrinkToFit="false"/>
      <protection locked="true" hidden="false"/>
    </xf>
    <xf numFmtId="174" fontId="7" fillId="35" borderId="10"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5" fillId="15" borderId="2" xfId="0" applyFont="true" applyBorder="true" applyAlignment="true" applyProtection="true">
      <alignment horizontal="general" vertical="bottom" textRotation="0" wrapText="false" indent="0" shrinkToFit="false"/>
      <protection locked="true" hidden="false"/>
    </xf>
    <xf numFmtId="164" fontId="4" fillId="15" borderId="6" xfId="0" applyFont="true" applyBorder="true" applyAlignment="true" applyProtection="true">
      <alignment horizontal="general" vertical="bottom" textRotation="0" wrapText="false" indent="0" shrinkToFit="false"/>
      <protection locked="true" hidden="false"/>
    </xf>
    <xf numFmtId="164" fontId="7" fillId="45" borderId="6" xfId="0" applyFont="true" applyBorder="true" applyAlignment="true" applyProtection="true">
      <alignment horizontal="right" vertical="bottom" textRotation="0" wrapText="false" indent="0" shrinkToFit="false"/>
      <protection locked="true" hidden="false"/>
    </xf>
    <xf numFmtId="166" fontId="12" fillId="0" borderId="6" xfId="0" applyFont="true" applyBorder="true" applyAlignment="true" applyProtection="true">
      <alignment horizontal="right" vertical="bottom" textRotation="0" wrapText="false" indent="0" shrinkToFit="false"/>
      <protection locked="true" hidden="false"/>
    </xf>
    <xf numFmtId="164" fontId="7" fillId="36" borderId="1" xfId="0" applyFont="true" applyBorder="true" applyAlignment="true" applyProtection="true">
      <alignment horizontal="right" vertical="bottom" textRotation="0" wrapText="false" indent="0" shrinkToFit="false"/>
      <protection locked="true" hidden="false"/>
    </xf>
    <xf numFmtId="164" fontId="26" fillId="15" borderId="0" xfId="0" applyFont="true" applyBorder="false" applyAlignment="true" applyProtection="true">
      <alignment horizontal="general" vertical="bottom" textRotation="0" wrapText="false" indent="0" shrinkToFit="false"/>
      <protection locked="true" hidden="false"/>
    </xf>
    <xf numFmtId="164" fontId="7" fillId="39" borderId="6" xfId="0" applyFont="true" applyBorder="true" applyAlignment="true" applyProtection="true">
      <alignment horizontal="right" vertical="bottom" textRotation="0" wrapText="false" indent="0" shrinkToFit="false"/>
      <protection locked="true" hidden="false"/>
    </xf>
    <xf numFmtId="164" fontId="7" fillId="0" borderId="6" xfId="0" applyFont="true" applyBorder="true" applyAlignment="true" applyProtection="true">
      <alignment horizontal="center" vertical="bottom" textRotation="0" wrapText="false" indent="0" shrinkToFit="false"/>
      <protection locked="true" hidden="false"/>
    </xf>
    <xf numFmtId="164" fontId="10" fillId="0" borderId="6"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77"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71"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6" fontId="12"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15" borderId="0" xfId="0" applyFont="true" applyBorder="false" applyAlignment="true" applyProtection="true">
      <alignment horizontal="general" vertical="bottom" textRotation="0" wrapText="false" indent="0" shrinkToFit="false"/>
      <protection locked="true" hidden="false"/>
    </xf>
    <xf numFmtId="166" fontId="29" fillId="0" borderId="0" xfId="0" applyFont="true" applyBorder="false" applyAlignment="true" applyProtection="true">
      <alignment horizontal="general" vertical="bottom" textRotation="0" wrapText="false" indent="0" shrinkToFit="false"/>
      <protection locked="true" hidden="false"/>
    </xf>
    <xf numFmtId="178" fontId="29"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74" fontId="6" fillId="0" borderId="0" xfId="0" applyFont="true" applyBorder="false" applyAlignment="true" applyProtection="true">
      <alignment horizontal="general" vertical="bottom" textRotation="0" wrapText="false" indent="0" shrinkToFit="false"/>
      <protection locked="true" hidden="false"/>
    </xf>
    <xf numFmtId="178" fontId="12" fillId="0" borderId="0" xfId="0" applyFont="tru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4" fontId="31"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6" fontId="12" fillId="12" borderId="0" xfId="0" applyFont="true" applyBorder="false" applyAlignment="true" applyProtection="true">
      <alignment horizontal="general" vertical="bottom" textRotation="0" wrapText="false" indent="0" shrinkToFit="false"/>
      <protection locked="true" hidden="false"/>
    </xf>
    <xf numFmtId="178" fontId="12"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8" fillId="0" borderId="16" xfId="0" applyFont="true" applyBorder="true" applyAlignment="true" applyProtection="true">
      <alignment horizontal="general"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6" fontId="7" fillId="0" borderId="16" xfId="0" applyFont="true" applyBorder="true" applyAlignment="true" applyProtection="true">
      <alignment horizontal="general" vertical="bottom" textRotation="0" wrapText="false" indent="0" shrinkToFit="false"/>
      <protection locked="true" hidden="false"/>
    </xf>
    <xf numFmtId="167" fontId="7" fillId="0" borderId="16" xfId="0" applyFont="true" applyBorder="true" applyAlignment="true" applyProtection="true">
      <alignment horizontal="center" vertical="bottom" textRotation="0" wrapText="false" indent="0" shrinkToFit="false"/>
      <protection locked="true" hidden="false"/>
    </xf>
    <xf numFmtId="172" fontId="7" fillId="0" borderId="16" xfId="0" applyFont="true" applyBorder="true" applyAlignment="true" applyProtection="true">
      <alignment horizontal="general" vertical="bottom" textRotation="0" wrapText="false" indent="0" shrinkToFit="false"/>
      <protection locked="true" hidden="false"/>
    </xf>
    <xf numFmtId="168" fontId="7" fillId="46" borderId="16"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right"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71" fontId="7" fillId="0" borderId="16" xfId="0" applyFont="true" applyBorder="true" applyAlignment="true" applyProtection="true">
      <alignment horizontal="general" vertical="bottom" textRotation="0" wrapText="false" indent="0" shrinkToFit="false"/>
      <protection locked="true" hidden="false"/>
    </xf>
    <xf numFmtId="164" fontId="11" fillId="0" borderId="16" xfId="0" applyFont="true" applyBorder="true" applyAlignment="true" applyProtection="true">
      <alignment horizontal="general" vertical="bottom" textRotation="0" wrapText="false" indent="0" shrinkToFit="false"/>
      <protection locked="true" hidden="false"/>
    </xf>
    <xf numFmtId="164" fontId="9" fillId="0" borderId="16" xfId="0" applyFont="true" applyBorder="true" applyAlignment="true" applyProtection="true">
      <alignment horizontal="general" vertical="bottom" textRotation="0" wrapText="false" indent="0" shrinkToFit="false"/>
      <protection locked="true" hidden="false"/>
    </xf>
    <xf numFmtId="169"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general" vertical="bottom" textRotation="0" wrapText="false" indent="0" shrinkToFit="false"/>
      <protection locked="true" hidden="false"/>
    </xf>
    <xf numFmtId="168" fontId="7" fillId="0" borderId="16" xfId="0" applyFont="true" applyBorder="true" applyAlignment="true" applyProtection="true">
      <alignment horizontal="center" vertical="bottom" textRotation="0" wrapText="false" indent="0" shrinkToFit="false"/>
      <protection locked="true" hidden="false"/>
    </xf>
    <xf numFmtId="164" fontId="7" fillId="0" borderId="17"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8" fontId="7" fillId="46" borderId="5"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6" fontId="7" fillId="16" borderId="4" xfId="0" applyFont="true" applyBorder="true" applyAlignment="true" applyProtection="true">
      <alignment horizontal="general" vertical="bottom" textRotation="0" wrapText="false" indent="0" shrinkToFit="false"/>
      <protection locked="true" hidden="false"/>
    </xf>
    <xf numFmtId="172" fontId="7" fillId="17" borderId="4" xfId="0" applyFont="true" applyBorder="true" applyAlignment="true" applyProtection="true">
      <alignment horizontal="general" vertical="bottom" textRotation="0" wrapText="false" indent="0" shrinkToFit="false"/>
      <protection locked="true" hidden="false"/>
    </xf>
    <xf numFmtId="168" fontId="7" fillId="46" borderId="4" xfId="0" applyFont="true" applyBorder="true" applyAlignment="true" applyProtection="true">
      <alignment horizontal="general" vertical="bottom" textRotation="0" wrapText="false" indent="0" shrinkToFit="false"/>
      <protection locked="true" hidden="false"/>
    </xf>
    <xf numFmtId="166" fontId="7" fillId="16" borderId="16" xfId="0" applyFont="true" applyBorder="true" applyAlignment="true" applyProtection="true">
      <alignment horizontal="general" vertical="bottom" textRotation="0" wrapText="false" indent="0" shrinkToFit="false"/>
      <protection locked="true" hidden="false"/>
    </xf>
    <xf numFmtId="172" fontId="7" fillId="17" borderId="16" xfId="0" applyFont="true" applyBorder="true" applyAlignment="true" applyProtection="true">
      <alignment horizontal="general" vertical="bottom" textRotation="0" wrapText="false" indent="0" shrinkToFit="false"/>
      <protection locked="true" hidden="false"/>
    </xf>
    <xf numFmtId="164" fontId="8" fillId="0" borderId="18"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6" fontId="7" fillId="0" borderId="18" xfId="0" applyFont="true" applyBorder="true" applyAlignment="true" applyProtection="true">
      <alignment horizontal="general" vertical="bottom" textRotation="0" wrapText="false" indent="0" shrinkToFit="false"/>
      <protection locked="true" hidden="false"/>
    </xf>
    <xf numFmtId="167" fontId="7" fillId="0" borderId="18" xfId="0" applyFont="true" applyBorder="true" applyAlignment="true" applyProtection="true">
      <alignment horizontal="center" vertical="bottom" textRotation="0" wrapText="false" indent="0" shrinkToFit="false"/>
      <protection locked="true" hidden="false"/>
    </xf>
    <xf numFmtId="166" fontId="7" fillId="16" borderId="18" xfId="0" applyFont="true" applyBorder="true" applyAlignment="true" applyProtection="true">
      <alignment horizontal="general" vertical="bottom" textRotation="0" wrapText="false" indent="0" shrinkToFit="false"/>
      <protection locked="true" hidden="false"/>
    </xf>
    <xf numFmtId="172" fontId="7" fillId="17" borderId="18" xfId="0" applyFont="true" applyBorder="true" applyAlignment="true" applyProtection="true">
      <alignment horizontal="general" vertical="bottom" textRotation="0" wrapText="false" indent="0" shrinkToFit="false"/>
      <protection locked="true" hidden="false"/>
    </xf>
    <xf numFmtId="168" fontId="7" fillId="46"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right"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71" fontId="7" fillId="0" borderId="18" xfId="0" applyFont="true" applyBorder="true" applyAlignment="true" applyProtection="true">
      <alignment horizontal="general" vertical="bottom" textRotation="0" wrapText="false" indent="0" shrinkToFit="false"/>
      <protection locked="true" hidden="false"/>
    </xf>
    <xf numFmtId="164" fontId="11" fillId="0" borderId="18" xfId="0" applyFont="true" applyBorder="true" applyAlignment="true" applyProtection="true">
      <alignment horizontal="general" vertical="bottom" textRotation="0" wrapText="false" indent="0" shrinkToFit="false"/>
      <protection locked="true" hidden="false"/>
    </xf>
    <xf numFmtId="164" fontId="9" fillId="0" borderId="18" xfId="0" applyFont="true" applyBorder="true" applyAlignment="true" applyProtection="true">
      <alignment horizontal="general" vertical="bottom" textRotation="0" wrapText="false" indent="0" shrinkToFit="false"/>
      <protection locked="true" hidden="false"/>
    </xf>
    <xf numFmtId="169"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general" vertical="bottom" textRotation="0" wrapText="false" indent="0" shrinkToFit="false"/>
      <protection locked="true" hidden="false"/>
    </xf>
    <xf numFmtId="168" fontId="7" fillId="0" borderId="18"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general" vertical="bottom" textRotation="0" wrapText="false" indent="0" shrinkToFit="false"/>
      <protection locked="true" hidden="false"/>
    </xf>
    <xf numFmtId="164" fontId="4" fillId="0"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general" vertical="bottom" textRotation="0" wrapText="false" indent="0" shrinkToFit="false"/>
      <protection locked="true" hidden="false"/>
    </xf>
    <xf numFmtId="172" fontId="7" fillId="19" borderId="1" xfId="0" applyFont="true" applyBorder="true" applyAlignment="true" applyProtection="true">
      <alignment horizontal="general" vertical="bottom" textRotation="0" wrapText="false" indent="0" shrinkToFit="false"/>
      <protection locked="true" hidden="false"/>
    </xf>
    <xf numFmtId="172" fontId="7" fillId="20" borderId="1" xfId="0" applyFont="true" applyBorder="true" applyAlignment="true" applyProtection="true">
      <alignment horizontal="general" vertical="bottom" textRotation="0" wrapText="false" indent="0" shrinkToFit="false"/>
      <protection locked="true" hidden="false"/>
    </xf>
    <xf numFmtId="168" fontId="7" fillId="46" borderId="1" xfId="0" applyFont="true" applyBorder="true" applyAlignment="true" applyProtection="true">
      <alignment horizontal="general" vertical="bottom" textRotation="0" wrapText="false" indent="0"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7" fontId="7" fillId="18" borderId="16" xfId="0" applyFont="true" applyBorder="true" applyAlignment="true" applyProtection="true">
      <alignment horizontal="center" vertical="bottom" textRotation="0" wrapText="false" indent="0" shrinkToFit="false"/>
      <protection locked="true" hidden="false"/>
    </xf>
    <xf numFmtId="172" fontId="7" fillId="19" borderId="16" xfId="0" applyFont="true" applyBorder="true" applyAlignment="true" applyProtection="true">
      <alignment horizontal="general" vertical="bottom" textRotation="0" wrapText="false" indent="0" shrinkToFit="false"/>
      <protection locked="true" hidden="false"/>
    </xf>
    <xf numFmtId="172" fontId="7" fillId="20" borderId="16" xfId="0" applyFont="true" applyBorder="true" applyAlignment="true" applyProtection="true">
      <alignment horizontal="general" vertical="bottom" textRotation="0" wrapText="false" indent="0" shrinkToFit="false"/>
      <protection locked="true" hidden="false"/>
    </xf>
    <xf numFmtId="173" fontId="7" fillId="0" borderId="16" xfId="0" applyFont="true" applyBorder="true" applyAlignment="true" applyProtection="true">
      <alignment horizontal="center" vertical="bottom" textRotation="0" wrapText="false" indent="0" shrinkToFit="false"/>
      <protection locked="true" hidden="false"/>
    </xf>
    <xf numFmtId="167" fontId="7" fillId="18" borderId="18" xfId="0" applyFont="true" applyBorder="true" applyAlignment="true" applyProtection="true">
      <alignment horizontal="center" vertical="bottom" textRotation="0" wrapText="false" indent="0" shrinkToFit="false"/>
      <protection locked="true" hidden="false"/>
    </xf>
    <xf numFmtId="172" fontId="7" fillId="0" borderId="18" xfId="0" applyFont="true" applyBorder="true" applyAlignment="true" applyProtection="true">
      <alignment horizontal="general" vertical="bottom" textRotation="0" wrapText="false" indent="0" shrinkToFit="false"/>
      <protection locked="true" hidden="false"/>
    </xf>
    <xf numFmtId="172" fontId="7" fillId="20" borderId="18" xfId="0" applyFont="true" applyBorder="true" applyAlignment="true" applyProtection="true">
      <alignment horizontal="general" vertical="bottom" textRotation="0" wrapText="false" indent="0" shrinkToFit="false"/>
      <protection locked="true" hidden="false"/>
    </xf>
    <xf numFmtId="173" fontId="7" fillId="0" borderId="18"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72" fontId="7" fillId="20" borderId="4" xfId="0" applyFont="true" applyBorder="true" applyAlignment="true" applyProtection="true">
      <alignment horizontal="general" vertical="bottom" textRotation="0" wrapText="false" indent="0" shrinkToFit="false"/>
      <protection locked="true" hidden="false"/>
    </xf>
    <xf numFmtId="164" fontId="33" fillId="15" borderId="0" xfId="0" applyFont="true" applyBorder="false" applyAlignment="true" applyProtection="true">
      <alignment horizontal="general" vertical="bottom" textRotation="0" wrapText="false" indent="0" shrinkToFit="false"/>
      <protection locked="true" hidden="false"/>
    </xf>
    <xf numFmtId="164" fontId="34" fillId="15" borderId="0" xfId="0" applyFont="true" applyBorder="false" applyAlignment="true" applyProtection="true">
      <alignment horizontal="general" vertical="bottom" textRotation="0" wrapText="false" indent="0" shrinkToFit="false"/>
      <protection locked="true" hidden="false"/>
    </xf>
    <xf numFmtId="164" fontId="34" fillId="15" borderId="17" xfId="0" applyFont="true" applyBorder="true" applyAlignment="true" applyProtection="true">
      <alignment horizontal="general" vertical="bottom" textRotation="0" wrapText="false" indent="0" shrinkToFit="false"/>
      <protection locked="true" hidden="false"/>
    </xf>
    <xf numFmtId="164" fontId="34" fillId="0" borderId="17" xfId="0" applyFont="true" applyBorder="true" applyAlignment="true" applyProtection="true">
      <alignment horizontal="general" vertical="bottom" textRotation="0" wrapText="false" indent="0" shrinkToFit="false"/>
      <protection locked="true" hidden="false"/>
    </xf>
    <xf numFmtId="164" fontId="7" fillId="46" borderId="18" xfId="0" applyFont="true" applyBorder="true" applyAlignment="tru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bottom" textRotation="0" wrapText="false" indent="0" shrinkToFit="false"/>
      <protection locked="true" hidden="false"/>
    </xf>
    <xf numFmtId="172" fontId="7" fillId="16" borderId="18" xfId="0" applyFont="true" applyBorder="true" applyAlignment="true" applyProtection="true">
      <alignment horizontal="general" vertical="bottom" textRotation="0" wrapText="false" indent="0" shrinkToFit="false"/>
      <protection locked="true" hidden="false"/>
    </xf>
    <xf numFmtId="178" fontId="12" fillId="0" borderId="9" xfId="0" applyFont="true" applyBorder="true" applyAlignment="true" applyProtection="true">
      <alignment horizontal="general" vertical="bottom" textRotation="0" wrapText="false" indent="0" shrinkToFit="false"/>
      <protection locked="true" hidden="false"/>
    </xf>
    <xf numFmtId="178" fontId="12" fillId="25" borderId="9" xfId="0" applyFont="true" applyBorder="true" applyAlignment="true" applyProtection="true">
      <alignment horizontal="general" vertical="bottom" textRotation="0" wrapText="false" indent="0" shrinkToFit="false"/>
      <protection locked="true" hidden="false"/>
    </xf>
    <xf numFmtId="178" fontId="12" fillId="0" borderId="11" xfId="0" applyFont="true" applyBorder="true" applyAlignment="true" applyProtection="true">
      <alignment horizontal="general" vertical="bottom" textRotation="0" wrapText="false" indent="0" shrinkToFit="false"/>
      <protection locked="true" hidden="false"/>
    </xf>
    <xf numFmtId="174" fontId="6" fillId="15"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72" fontId="7" fillId="21" borderId="1" xfId="0" applyFont="true" applyBorder="true" applyAlignment="true" applyProtection="true">
      <alignment horizontal="general" vertical="bottom" textRotation="0" wrapText="false" indent="0" shrinkToFit="false"/>
      <protection locked="true" hidden="false"/>
    </xf>
    <xf numFmtId="167" fontId="7" fillId="23" borderId="1" xfId="0" applyFont="true" applyBorder="true" applyAlignment="true" applyProtection="true">
      <alignment horizontal="center" vertical="bottom" textRotation="0" wrapText="false" indent="0" shrinkToFit="false"/>
      <protection locked="true" hidden="false"/>
    </xf>
    <xf numFmtId="164" fontId="7" fillId="12" borderId="1" xfId="0" applyFont="true" applyBorder="true" applyAlignment="true" applyProtection="true">
      <alignment horizontal="right" vertical="bottom" textRotation="0" wrapText="false" indent="0" shrinkToFit="false"/>
      <protection locked="true" hidden="false"/>
    </xf>
    <xf numFmtId="167" fontId="7" fillId="35" borderId="1" xfId="0" applyFont="true" applyBorder="true" applyAlignment="true" applyProtection="true">
      <alignment horizontal="center" vertical="bottom" textRotation="0" wrapText="false" indent="0" shrinkToFit="false"/>
      <protection locked="true" hidden="false"/>
    </xf>
    <xf numFmtId="164" fontId="7" fillId="35" borderId="1" xfId="0" applyFont="true" applyBorder="true" applyAlignment="true" applyProtection="true">
      <alignment horizontal="general" vertical="bottom" textRotation="0" wrapText="false" indent="0" shrinkToFit="false"/>
      <protection locked="true" hidden="false"/>
    </xf>
    <xf numFmtId="164" fontId="7" fillId="45" borderId="1" xfId="0" applyFont="true" applyBorder="true" applyAlignment="true" applyProtection="true">
      <alignment horizontal="right" vertical="bottom" textRotation="0" wrapText="false" indent="0" shrinkToFit="false"/>
      <protection locked="true" hidden="false"/>
    </xf>
    <xf numFmtId="164" fontId="20" fillId="47" borderId="1" xfId="0" applyFont="true" applyBorder="true" applyAlignment="true" applyProtection="true">
      <alignment horizontal="general" vertical="bottom" textRotation="0" wrapText="false" indent="0" shrinkToFit="false"/>
      <protection locked="true" hidden="false"/>
    </xf>
    <xf numFmtId="164" fontId="15" fillId="47" borderId="12" xfId="0" applyFont="true" applyBorder="true" applyAlignment="true" applyProtection="true">
      <alignment horizontal="general" vertical="bottom" textRotation="0" wrapText="false" indent="0" shrinkToFit="false"/>
      <protection locked="true" hidden="false"/>
    </xf>
    <xf numFmtId="171" fontId="12" fillId="22" borderId="7" xfId="0" applyFont="true" applyBorder="true" applyAlignment="true" applyProtection="true">
      <alignment horizontal="right" vertical="bottom" textRotation="0" wrapText="false" indent="0" shrinkToFit="false"/>
      <protection locked="true" hidden="false"/>
    </xf>
    <xf numFmtId="164" fontId="20" fillId="2" borderId="1" xfId="0" applyFont="true" applyBorder="true" applyAlignment="true" applyProtection="true">
      <alignment horizontal="general" vertical="bottom" textRotation="0" wrapText="false" indent="0" shrinkToFit="false"/>
      <protection locked="true" hidden="false"/>
    </xf>
    <xf numFmtId="164" fontId="20" fillId="3" borderId="19" xfId="0" applyFont="true" applyBorder="true" applyAlignment="true" applyProtection="true">
      <alignment horizontal="right" vertical="bottom" textRotation="90" wrapText="false" indent="0" shrinkToFit="false"/>
      <protection locked="true" hidden="false"/>
    </xf>
    <xf numFmtId="164" fontId="20" fillId="5" borderId="19" xfId="0" applyFont="true" applyBorder="true" applyAlignment="true" applyProtection="true">
      <alignment horizontal="right" vertical="bottom" textRotation="90" wrapText="false" indent="0" shrinkToFit="false"/>
      <protection locked="true" hidden="false"/>
    </xf>
    <xf numFmtId="164" fontId="20" fillId="6" borderId="19" xfId="0" applyFont="true" applyBorder="true" applyAlignment="true" applyProtection="true">
      <alignment horizontal="right" vertical="bottom" textRotation="90" wrapText="false" indent="0" shrinkToFit="false"/>
      <protection locked="true" hidden="false"/>
    </xf>
    <xf numFmtId="164" fontId="20" fillId="8" borderId="19" xfId="0" applyFont="true" applyBorder="true" applyAlignment="true" applyProtection="true">
      <alignment horizontal="center" vertical="bottom" textRotation="90" wrapText="true" indent="0" shrinkToFit="false"/>
      <protection locked="true" hidden="false"/>
    </xf>
    <xf numFmtId="164" fontId="20" fillId="4" borderId="19" xfId="0" applyFont="true" applyBorder="true" applyAlignment="true" applyProtection="true">
      <alignment horizontal="right" vertical="bottom" textRotation="90" wrapText="false" indent="0" shrinkToFit="false"/>
      <protection locked="true" hidden="false"/>
    </xf>
    <xf numFmtId="164" fontId="20" fillId="4" borderId="19" xfId="0" applyFont="true" applyBorder="true" applyAlignment="true" applyProtection="true">
      <alignment horizontal="right" vertical="bottom" textRotation="90" wrapText="true" indent="0" shrinkToFit="false"/>
      <protection locked="true" hidden="false"/>
    </xf>
    <xf numFmtId="164" fontId="20" fillId="11" borderId="19" xfId="0" applyFont="true" applyBorder="true" applyAlignment="true" applyProtection="true">
      <alignment horizontal="center" vertical="bottom" textRotation="90" wrapText="true" indent="0" shrinkToFit="false"/>
      <protection locked="true" hidden="false"/>
    </xf>
    <xf numFmtId="164" fontId="20" fillId="15" borderId="20" xfId="0" applyFont="true" applyBorder="true" applyAlignment="true" applyProtection="true">
      <alignment horizontal="general" vertical="bottom" textRotation="0" wrapText="true" indent="0" shrinkToFit="false"/>
      <protection locked="true" hidden="false"/>
    </xf>
    <xf numFmtId="165" fontId="12" fillId="22" borderId="21" xfId="0" applyFont="true" applyBorder="true" applyAlignment="true" applyProtection="true">
      <alignment horizontal="right" vertical="bottom" textRotation="0" wrapText="false" indent="0" shrinkToFit="false"/>
      <protection locked="true" hidden="false"/>
    </xf>
    <xf numFmtId="166" fontId="12" fillId="16" borderId="21" xfId="0" applyFont="true" applyBorder="true" applyAlignment="true" applyProtection="true">
      <alignment horizontal="right" vertical="bottom" textRotation="0" wrapText="false" indent="0" shrinkToFit="false"/>
      <protection locked="true" hidden="false"/>
    </xf>
    <xf numFmtId="166" fontId="12" fillId="48" borderId="21" xfId="0" applyFont="true" applyBorder="true" applyAlignment="true" applyProtection="true">
      <alignment horizontal="right" vertical="bottom" textRotation="0" wrapText="false" indent="0" shrinkToFit="false"/>
      <protection locked="true" hidden="false"/>
    </xf>
    <xf numFmtId="164" fontId="12" fillId="0" borderId="21" xfId="0" applyFont="true" applyBorder="true" applyAlignment="true" applyProtection="true">
      <alignment horizontal="right" vertical="bottom" textRotation="0" wrapText="false" indent="0" shrinkToFit="false"/>
      <protection locked="true" hidden="false"/>
    </xf>
    <xf numFmtId="169" fontId="12" fillId="0" borderId="21" xfId="0" applyFont="true" applyBorder="true" applyAlignment="true" applyProtection="true">
      <alignment horizontal="right" vertical="bottom" textRotation="0" wrapText="false" indent="0" shrinkToFit="false"/>
      <protection locked="true" hidden="false"/>
    </xf>
    <xf numFmtId="173" fontId="12" fillId="0" borderId="21" xfId="0" applyFont="true" applyBorder="true" applyAlignment="true" applyProtection="true">
      <alignment horizontal="center" vertical="bottom" textRotation="0" wrapText="false" indent="0" shrinkToFit="false"/>
      <protection locked="true" hidden="false"/>
    </xf>
    <xf numFmtId="170" fontId="12" fillId="0" borderId="21" xfId="0" applyFont="true" applyBorder="true" applyAlignment="true" applyProtection="true">
      <alignment horizontal="right" vertical="bottom" textRotation="0" wrapText="false" indent="0" shrinkToFit="false"/>
      <protection locked="true" hidden="false"/>
    </xf>
    <xf numFmtId="171" fontId="12" fillId="26" borderId="21" xfId="0" applyFont="true" applyBorder="true" applyAlignment="true" applyProtection="true">
      <alignment horizontal="right" vertical="bottom" textRotation="0" wrapText="false" indent="0" shrinkToFit="false"/>
      <protection locked="true" hidden="false"/>
    </xf>
    <xf numFmtId="164" fontId="20" fillId="15" borderId="6" xfId="0" applyFont="true" applyBorder="true" applyAlignment="true" applyProtection="true">
      <alignment horizontal="general" vertical="bottom" textRotation="0" wrapText="true" indent="0" shrinkToFit="false"/>
      <protection locked="true" hidden="false"/>
    </xf>
    <xf numFmtId="165" fontId="12" fillId="13" borderId="8" xfId="0" applyFont="true" applyBorder="true" applyAlignment="true" applyProtection="true">
      <alignment horizontal="right" vertical="bottom" textRotation="0" wrapText="false" indent="0" shrinkToFit="false"/>
      <protection locked="true" hidden="false"/>
    </xf>
    <xf numFmtId="166" fontId="12" fillId="16" borderId="8" xfId="0" applyFont="true" applyBorder="true" applyAlignment="true" applyProtection="true">
      <alignment horizontal="right" vertical="bottom" textRotation="0" wrapText="false" indent="0" shrinkToFit="false"/>
      <protection locked="true" hidden="false"/>
    </xf>
    <xf numFmtId="166" fontId="12" fillId="41" borderId="8" xfId="0" applyFont="true" applyBorder="true" applyAlignment="true" applyProtection="true">
      <alignment horizontal="right" vertical="bottom" textRotation="0" wrapText="false" indent="0" shrinkToFit="false"/>
      <protection locked="true" hidden="false"/>
    </xf>
    <xf numFmtId="164" fontId="12" fillId="0" borderId="8" xfId="0" applyFont="true" applyBorder="true" applyAlignment="true" applyProtection="true">
      <alignment horizontal="right" vertical="bottom" textRotation="0" wrapText="false" indent="0" shrinkToFit="false"/>
      <protection locked="true" hidden="false"/>
    </xf>
    <xf numFmtId="164" fontId="12" fillId="27" borderId="8" xfId="0" applyFont="true" applyBorder="true" applyAlignment="true" applyProtection="true">
      <alignment horizontal="right" vertical="bottom" textRotation="0" wrapText="false" indent="0" shrinkToFit="false"/>
      <protection locked="true" hidden="false"/>
    </xf>
    <xf numFmtId="169" fontId="12" fillId="0" borderId="8" xfId="0" applyFont="true" applyBorder="true" applyAlignment="true" applyProtection="true">
      <alignment horizontal="right" vertical="bottom" textRotation="0" wrapText="false" indent="0" shrinkToFit="false"/>
      <protection locked="true" hidden="false"/>
    </xf>
    <xf numFmtId="173" fontId="12" fillId="0" borderId="8" xfId="0" applyFont="true" applyBorder="true" applyAlignment="true" applyProtection="true">
      <alignment horizontal="center" vertical="bottom" textRotation="0" wrapText="false" indent="0" shrinkToFit="false"/>
      <protection locked="true" hidden="false"/>
    </xf>
    <xf numFmtId="170" fontId="12" fillId="0" borderId="8" xfId="0" applyFont="true" applyBorder="true" applyAlignment="true" applyProtection="true">
      <alignment horizontal="right" vertical="bottom" textRotation="0" wrapText="false" indent="0" shrinkToFit="false"/>
      <protection locked="true" hidden="false"/>
    </xf>
    <xf numFmtId="171" fontId="12" fillId="0" borderId="8" xfId="0" applyFont="true" applyBorder="true" applyAlignment="true" applyProtection="true">
      <alignment horizontal="right" vertical="bottom" textRotation="0" wrapText="false" indent="0" shrinkToFit="false"/>
      <protection locked="true" hidden="false"/>
    </xf>
    <xf numFmtId="171" fontId="12" fillId="0" borderId="8" xfId="0" applyFont="true" applyBorder="true" applyAlignment="true" applyProtection="true">
      <alignment horizontal="general" vertical="bottom" textRotation="0" wrapText="false" indent="0" shrinkToFit="false"/>
      <protection locked="true" hidden="false"/>
    </xf>
    <xf numFmtId="164" fontId="20" fillId="15" borderId="4" xfId="0" applyFont="true" applyBorder="true" applyAlignment="true" applyProtection="true">
      <alignment horizontal="general" vertical="bottom" textRotation="0" wrapText="true" indent="0" shrinkToFit="false"/>
      <protection locked="true" hidden="false"/>
    </xf>
    <xf numFmtId="165" fontId="12" fillId="39" borderId="9" xfId="0" applyFont="true" applyBorder="true" applyAlignment="true" applyProtection="true">
      <alignment horizontal="right" vertical="bottom" textRotation="0" wrapText="false" indent="0" shrinkToFit="false"/>
      <protection locked="true" hidden="false"/>
    </xf>
    <xf numFmtId="166" fontId="12" fillId="49" borderId="9" xfId="0" applyFont="true" applyBorder="true" applyAlignment="true" applyProtection="true">
      <alignment horizontal="right" vertical="bottom" textRotation="0" wrapText="false" indent="0" shrinkToFit="false"/>
      <protection locked="true" hidden="false"/>
    </xf>
    <xf numFmtId="166" fontId="12" fillId="50" borderId="9" xfId="0" applyFont="true" applyBorder="true" applyAlignment="true" applyProtection="true">
      <alignment horizontal="right" vertical="bottom" textRotation="0" wrapText="false" indent="0" shrinkToFit="false"/>
      <protection locked="true" hidden="false"/>
    </xf>
    <xf numFmtId="164" fontId="12" fillId="0" borderId="9" xfId="0" applyFont="true" applyBorder="true" applyAlignment="true" applyProtection="true">
      <alignment horizontal="right" vertical="bottom" textRotation="0" wrapText="false" indent="0" shrinkToFit="false"/>
      <protection locked="true" hidden="false"/>
    </xf>
    <xf numFmtId="169" fontId="12" fillId="0" borderId="9" xfId="0" applyFont="true" applyBorder="true" applyAlignment="true" applyProtection="true">
      <alignment horizontal="right" vertical="bottom" textRotation="0" wrapText="false" indent="0" shrinkToFit="false"/>
      <protection locked="true" hidden="false"/>
    </xf>
    <xf numFmtId="173" fontId="12" fillId="0" borderId="9" xfId="0" applyFont="true" applyBorder="true" applyAlignment="true" applyProtection="true">
      <alignment horizontal="center" vertical="bottom" textRotation="0" wrapText="false" indent="0" shrinkToFit="false"/>
      <protection locked="true" hidden="false"/>
    </xf>
    <xf numFmtId="170" fontId="12" fillId="0" borderId="9" xfId="0" applyFont="true" applyBorder="true" applyAlignment="true" applyProtection="true">
      <alignment horizontal="right" vertical="bottom" textRotation="0" wrapText="false" indent="0" shrinkToFit="false"/>
      <protection locked="true" hidden="false"/>
    </xf>
    <xf numFmtId="171" fontId="12" fillId="0" borderId="9" xfId="0" applyFont="true" applyBorder="true" applyAlignment="true" applyProtection="true">
      <alignment horizontal="right" vertical="bottom" textRotation="0" wrapText="false" indent="0" shrinkToFit="false"/>
      <protection locked="true" hidden="false"/>
    </xf>
    <xf numFmtId="165" fontId="12" fillId="12" borderId="9" xfId="0" applyFont="true" applyBorder="true" applyAlignment="true" applyProtection="true">
      <alignment horizontal="right" vertical="bottom" textRotation="0" wrapText="false" indent="0" shrinkToFit="false"/>
      <protection locked="true" hidden="false"/>
    </xf>
    <xf numFmtId="166" fontId="12" fillId="51" borderId="9" xfId="0" applyFont="true" applyBorder="true" applyAlignment="true" applyProtection="true">
      <alignment horizontal="right" vertical="bottom" textRotation="0" wrapText="false" indent="0" shrinkToFit="false"/>
      <protection locked="true" hidden="false"/>
    </xf>
    <xf numFmtId="166" fontId="12" fillId="52" borderId="9" xfId="0" applyFont="true" applyBorder="true" applyAlignment="true" applyProtection="true">
      <alignment horizontal="right" vertical="bottom" textRotation="0" wrapText="false" indent="0" shrinkToFit="false"/>
      <protection locked="true" hidden="false"/>
    </xf>
    <xf numFmtId="165" fontId="12" fillId="7" borderId="9" xfId="0" applyFont="true" applyBorder="true" applyAlignment="true" applyProtection="true">
      <alignment horizontal="right" vertical="bottom" textRotation="0" wrapText="false" indent="0" shrinkToFit="false"/>
      <protection locked="true" hidden="false"/>
    </xf>
    <xf numFmtId="166" fontId="12" fillId="53" borderId="9" xfId="0" applyFont="true" applyBorder="true" applyAlignment="true" applyProtection="true">
      <alignment horizontal="right" vertical="bottom" textRotation="0" wrapText="false" indent="0" shrinkToFit="false"/>
      <protection locked="true" hidden="false"/>
    </xf>
    <xf numFmtId="166" fontId="12" fillId="54" borderId="9" xfId="0" applyFont="true" applyBorder="true" applyAlignment="true" applyProtection="true">
      <alignment horizontal="right" vertical="bottom" textRotation="0" wrapText="false" indent="0" shrinkToFit="false"/>
      <protection locked="true" hidden="false"/>
    </xf>
    <xf numFmtId="164" fontId="22" fillId="15" borderId="4" xfId="0" applyFont="true" applyBorder="true" applyAlignment="true" applyProtection="true">
      <alignment horizontal="general" vertical="bottom" textRotation="0" wrapText="true" indent="0" shrinkToFit="false"/>
      <protection locked="true" hidden="false"/>
    </xf>
    <xf numFmtId="165" fontId="12" fillId="22" borderId="9" xfId="0" applyFont="true" applyBorder="true" applyAlignment="true" applyProtection="true">
      <alignment horizontal="right" vertical="bottom" textRotation="0" wrapText="false" indent="0" shrinkToFit="false"/>
      <protection locked="true" hidden="false"/>
    </xf>
    <xf numFmtId="166" fontId="12" fillId="55" borderId="9" xfId="0" applyFont="true" applyBorder="true" applyAlignment="true" applyProtection="true">
      <alignment horizontal="right" vertical="bottom" textRotation="0" wrapText="false" indent="0" shrinkToFit="false"/>
      <protection locked="true" hidden="false"/>
    </xf>
    <xf numFmtId="166" fontId="12" fillId="56" borderId="9" xfId="0" applyFont="true" applyBorder="true" applyAlignment="true" applyProtection="true">
      <alignment horizontal="right" vertical="bottom" textRotation="0" wrapText="false" indent="0" shrinkToFit="false"/>
      <protection locked="true" hidden="false"/>
    </xf>
    <xf numFmtId="171" fontId="12" fillId="22" borderId="9" xfId="0" applyFont="true" applyBorder="true" applyAlignment="true" applyProtection="true">
      <alignment horizontal="right" vertical="bottom" textRotation="0" wrapText="false" indent="0" shrinkToFit="false"/>
      <protection locked="true" hidden="false"/>
    </xf>
    <xf numFmtId="164" fontId="22" fillId="15" borderId="6" xfId="0" applyFont="true" applyBorder="true" applyAlignment="true" applyProtection="true">
      <alignment horizontal="general" vertical="bottom" textRotation="0" wrapText="true" indent="0" shrinkToFit="false"/>
      <protection locked="true" hidden="false"/>
    </xf>
    <xf numFmtId="166" fontId="12" fillId="30" borderId="8" xfId="0" applyFont="true" applyBorder="true" applyAlignment="true" applyProtection="true">
      <alignment horizontal="right" vertical="bottom" textRotation="0" wrapText="false" indent="0" shrinkToFit="false"/>
      <protection locked="true" hidden="false"/>
    </xf>
    <xf numFmtId="166" fontId="12" fillId="57" borderId="8" xfId="0" applyFont="true" applyBorder="true" applyAlignment="true" applyProtection="true">
      <alignment horizontal="right" vertical="bottom" textRotation="0" wrapText="false" indent="0" shrinkToFit="false"/>
      <protection locked="true" hidden="false"/>
    </xf>
    <xf numFmtId="164" fontId="12" fillId="4" borderId="8" xfId="0" applyFont="true" applyBorder="true" applyAlignment="true" applyProtection="true">
      <alignment horizontal="right" vertical="bottom" textRotation="0" wrapText="false" indent="0" shrinkToFit="false"/>
      <protection locked="true" hidden="false"/>
    </xf>
    <xf numFmtId="171" fontId="12" fillId="26" borderId="8" xfId="0" applyFont="true" applyBorder="true" applyAlignment="true" applyProtection="true">
      <alignment horizontal="right" vertical="bottom" textRotation="0" wrapText="false" indent="0" shrinkToFit="false"/>
      <protection locked="true" hidden="false"/>
    </xf>
    <xf numFmtId="166" fontId="12" fillId="58" borderId="9" xfId="0" applyFont="true" applyBorder="true" applyAlignment="true" applyProtection="true">
      <alignment horizontal="right" vertical="bottom" textRotation="0" wrapText="false" indent="0" shrinkToFit="false"/>
      <protection locked="true" hidden="false"/>
    </xf>
    <xf numFmtId="166" fontId="12" fillId="59" borderId="9" xfId="0" applyFont="true" applyBorder="true" applyAlignment="true" applyProtection="true">
      <alignment horizontal="right" vertical="bottom" textRotation="0" wrapText="false" indent="0" shrinkToFit="false"/>
      <protection locked="true" hidden="false"/>
    </xf>
    <xf numFmtId="171" fontId="12" fillId="0" borderId="9" xfId="0" applyFont="true" applyBorder="true" applyAlignment="true" applyProtection="true">
      <alignment horizontal="general" vertical="bottom" textRotation="0" wrapText="false" indent="0" shrinkToFit="false"/>
      <protection locked="true" hidden="false"/>
    </xf>
    <xf numFmtId="164" fontId="22" fillId="25" borderId="4" xfId="0" applyFont="true" applyBorder="true" applyAlignment="true" applyProtection="true">
      <alignment horizontal="general" vertical="bottom" textRotation="0" wrapText="true" indent="0" shrinkToFit="false"/>
      <protection locked="true" hidden="false"/>
    </xf>
    <xf numFmtId="165" fontId="12" fillId="13" borderId="9" xfId="0" applyFont="true" applyBorder="true" applyAlignment="true" applyProtection="true">
      <alignment horizontal="right" vertical="bottom" textRotation="0" wrapText="false" indent="0" shrinkToFit="false"/>
      <protection locked="true" hidden="false"/>
    </xf>
    <xf numFmtId="166" fontId="12" fillId="16" borderId="9" xfId="0" applyFont="true" applyBorder="tru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74" fontId="4" fillId="0" borderId="0" xfId="0" applyFont="true" applyBorder="false" applyAlignment="true" applyProtection="true">
      <alignment horizontal="general" vertical="bottom" textRotation="0" wrapText="false" indent="0" shrinkToFit="false"/>
      <protection locked="true" hidden="false"/>
    </xf>
    <xf numFmtId="174" fontId="4" fillId="15" borderId="0" xfId="0" applyFont="true" applyBorder="false" applyAlignment="true" applyProtection="true">
      <alignment horizontal="general" vertical="bottom" textRotation="0" wrapText="false" indent="0" shrinkToFit="false"/>
      <protection locked="true" hidden="false"/>
    </xf>
    <xf numFmtId="174" fontId="4" fillId="0" borderId="3" xfId="0" applyFont="true" applyBorder="true" applyAlignment="true" applyProtection="true">
      <alignment horizontal="general" vertical="bottom" textRotation="0" wrapText="false" indent="0" shrinkToFit="false"/>
      <protection locked="true" hidden="false"/>
    </xf>
    <xf numFmtId="174" fontId="4" fillId="15" borderId="3" xfId="0" applyFont="true" applyBorder="true" applyAlignment="true" applyProtection="true">
      <alignment horizontal="general" vertical="bottom" textRotation="0" wrapText="false" indent="0" shrinkToFit="false"/>
      <protection locked="true" hidden="false"/>
    </xf>
    <xf numFmtId="164" fontId="6" fillId="15" borderId="0" xfId="0" applyFont="true" applyBorder="false" applyAlignment="true" applyProtection="true">
      <alignment horizontal="general" vertical="bottom" textRotation="0" wrapText="false" indent="0" shrinkToFit="false"/>
      <protection locked="true" hidden="false"/>
    </xf>
    <xf numFmtId="164" fontId="35" fillId="12" borderId="0" xfId="0" applyFont="true" applyBorder="false" applyAlignment="true" applyProtection="true">
      <alignment horizontal="general" vertical="bottom" textRotation="0" wrapText="false" indent="0" shrinkToFit="false"/>
      <protection locked="true" hidden="false"/>
    </xf>
    <xf numFmtId="164" fontId="4" fillId="2" borderId="10" xfId="0" applyFont="true" applyBorder="true" applyAlignment="true" applyProtection="true">
      <alignment horizontal="general" vertical="bottom" textRotation="0" wrapText="false" indent="0" shrinkToFit="false"/>
      <protection locked="true" hidden="false"/>
    </xf>
    <xf numFmtId="164" fontId="4" fillId="4" borderId="10" xfId="0" applyFont="true" applyBorder="true" applyAlignment="true" applyProtection="true">
      <alignment horizontal="right" vertical="center" textRotation="90" wrapText="true" indent="0" shrinkToFit="false"/>
      <protection locked="true" hidden="false"/>
    </xf>
    <xf numFmtId="164" fontId="4" fillId="4" borderId="10" xfId="0" applyFont="true" applyBorder="true" applyAlignment="true" applyProtection="true">
      <alignment horizontal="right" vertical="center" textRotation="90" wrapText="false" indent="0" shrinkToFit="false"/>
      <protection locked="true" hidden="false"/>
    </xf>
    <xf numFmtId="164" fontId="36" fillId="14" borderId="22" xfId="0" applyFont="true" applyBorder="true" applyAlignment="true" applyProtection="true">
      <alignment horizontal="general" vertical="bottom" textRotation="0" wrapText="false" indent="0" shrinkToFit="false"/>
      <protection locked="true" hidden="false"/>
    </xf>
    <xf numFmtId="164" fontId="7" fillId="14" borderId="23" xfId="0" applyFont="true" applyBorder="true" applyAlignment="true" applyProtection="true">
      <alignment horizontal="general" vertical="bottom" textRotation="0" wrapText="false" indent="0" shrinkToFit="false"/>
      <protection locked="true" hidden="false"/>
    </xf>
    <xf numFmtId="164" fontId="7" fillId="14" borderId="23" xfId="0" applyFont="true" applyBorder="true" applyAlignment="true" applyProtection="true">
      <alignment horizontal="right" vertical="bottom" textRotation="0" wrapText="false" indent="0" shrinkToFit="false"/>
      <protection locked="true" hidden="false"/>
    </xf>
    <xf numFmtId="164" fontId="4" fillId="14" borderId="23" xfId="0" applyFont="true" applyBorder="true" applyAlignment="true" applyProtection="true">
      <alignment horizontal="general" vertical="bottom" textRotation="0" wrapText="false" indent="0" shrinkToFit="false"/>
      <protection locked="true" hidden="false"/>
    </xf>
    <xf numFmtId="164" fontId="7" fillId="14" borderId="24" xfId="0" applyFont="true" applyBorder="true" applyAlignment="true" applyProtection="true">
      <alignment horizontal="general" vertical="bottom" textRotation="0" wrapText="false" indent="0" shrinkToFit="false"/>
      <protection locked="true" hidden="false"/>
    </xf>
    <xf numFmtId="174" fontId="6" fillId="15" borderId="0" xfId="0" applyFont="true" applyBorder="fals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false" applyAlignment="true" applyProtection="true">
      <alignment horizontal="center" vertical="bottom" textRotation="0" wrapText="false" indent="0" shrinkToFit="false"/>
      <protection locked="true" hidden="false"/>
    </xf>
    <xf numFmtId="168" fontId="7" fillId="0" borderId="0" xfId="0" applyFont="true" applyBorder="false" applyAlignment="true" applyProtection="true">
      <alignment horizontal="general" vertical="bottom" textRotation="0" wrapText="false" indent="0" shrinkToFit="false"/>
      <protection locked="true" hidden="false"/>
    </xf>
    <xf numFmtId="173" fontId="11" fillId="0" borderId="0" xfId="0" applyFont="true" applyBorder="false" applyAlignment="true" applyProtection="true">
      <alignment horizontal="general" vertical="bottom" textRotation="0" wrapText="false" indent="0" shrinkToFit="false"/>
      <protection locked="true" hidden="false"/>
    </xf>
    <xf numFmtId="170" fontId="11" fillId="0" borderId="0" xfId="0" applyFont="tru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false" indent="0" shrinkToFit="false"/>
      <protection locked="true" hidden="false"/>
    </xf>
    <xf numFmtId="170" fontId="7" fillId="0" borderId="26" xfId="0"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true" applyProtection="true">
      <alignment horizontal="general" vertical="bottom" textRotation="0" wrapText="false" indent="0" shrinkToFit="false"/>
      <protection locked="true" hidden="false"/>
    </xf>
    <xf numFmtId="172" fontId="7" fillId="0" borderId="0" xfId="0" applyFont="true" applyBorder="false" applyAlignment="true" applyProtection="true">
      <alignment horizontal="general" vertical="bottom" textRotation="0" wrapText="false" indent="0" shrinkToFit="false"/>
      <protection locked="true" hidden="false"/>
    </xf>
    <xf numFmtId="173"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6" fontId="7" fillId="0" borderId="17" xfId="0" applyFont="true" applyBorder="true" applyAlignment="true" applyProtection="true">
      <alignment horizontal="general" vertical="bottom" textRotation="0" wrapText="false" indent="0" shrinkToFit="false"/>
      <protection locked="true" hidden="false"/>
    </xf>
    <xf numFmtId="167" fontId="7" fillId="0" borderId="17" xfId="0" applyFont="true" applyBorder="true" applyAlignment="true" applyProtection="true">
      <alignment horizontal="center" vertical="bottom" textRotation="0" wrapText="false" indent="0" shrinkToFit="false"/>
      <protection locked="true" hidden="false"/>
    </xf>
    <xf numFmtId="172"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general" vertical="bottom" textRotation="0" wrapText="false" indent="0" shrinkToFit="false"/>
      <protection locked="true" hidden="false"/>
    </xf>
    <xf numFmtId="164" fontId="7" fillId="0" borderId="17" xfId="0" applyFont="true" applyBorder="true" applyAlignment="true" applyProtection="true">
      <alignment horizontal="right" vertical="bottom" textRotation="0" wrapText="false" indent="0" shrinkToFit="false"/>
      <protection locked="true" hidden="false"/>
    </xf>
    <xf numFmtId="171" fontId="7" fillId="0" borderId="17"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9" fontId="7" fillId="0" borderId="17" xfId="0" applyFont="true" applyBorder="true" applyAlignment="true" applyProtection="true">
      <alignment horizontal="general" vertical="bottom" textRotation="0" wrapText="false" indent="0" shrinkToFit="false"/>
      <protection locked="true" hidden="false"/>
    </xf>
    <xf numFmtId="168" fontId="7" fillId="0" borderId="17" xfId="0" applyFont="true" applyBorder="true" applyAlignment="true" applyProtection="true">
      <alignment horizontal="center" vertical="bottom" textRotation="0" wrapText="false" indent="0" shrinkToFit="false"/>
      <protection locked="true" hidden="false"/>
    </xf>
    <xf numFmtId="170" fontId="7" fillId="0" borderId="28" xfId="0" applyFont="true" applyBorder="true" applyAlignment="true" applyProtection="true">
      <alignment horizontal="general" vertical="bottom" textRotation="0" wrapText="false" indent="0" shrinkToFit="false"/>
      <protection locked="true" hidden="false"/>
    </xf>
    <xf numFmtId="166" fontId="7" fillId="0" borderId="10" xfId="0" applyFont="true" applyBorder="true" applyAlignment="true" applyProtection="true">
      <alignment horizontal="general" vertical="bottom" textRotation="0" wrapText="false" indent="0" shrinkToFit="false"/>
      <protection locked="true" hidden="false"/>
    </xf>
    <xf numFmtId="172" fontId="7" fillId="0" borderId="10" xfId="0" applyFont="true" applyBorder="true" applyAlignment="true" applyProtection="true">
      <alignment horizontal="general" vertical="bottom" textRotation="0" wrapText="false" indent="0" shrinkToFit="false"/>
      <protection locked="true" hidden="false"/>
    </xf>
    <xf numFmtId="166" fontId="12" fillId="0" borderId="5" xfId="0" applyFont="true" applyBorder="true" applyAlignment="true" applyProtection="true">
      <alignment horizontal="right" vertical="bottom" textRotation="0" wrapText="false" indent="0" shrinkToFit="false"/>
      <protection locked="true" hidden="false"/>
    </xf>
    <xf numFmtId="170" fontId="7" fillId="0" borderId="29" xfId="0" applyFont="true" applyBorder="true" applyAlignment="true" applyProtection="true">
      <alignment horizontal="general" vertical="bottom" textRotation="0" wrapText="false" indent="0" shrinkToFit="false"/>
      <protection locked="true" hidden="false"/>
    </xf>
    <xf numFmtId="164" fontId="4" fillId="25" borderId="30" xfId="0" applyFont="true" applyBorder="true" applyAlignment="true" applyProtection="true">
      <alignment horizontal="general" vertical="bottom" textRotation="0" wrapText="false" indent="0" shrinkToFit="false"/>
      <protection locked="true" hidden="false"/>
    </xf>
    <xf numFmtId="165" fontId="7" fillId="25" borderId="31" xfId="0" applyFont="true" applyBorder="true" applyAlignment="true" applyProtection="true">
      <alignment horizontal="general" vertical="bottom" textRotation="0" wrapText="false" indent="0" shrinkToFit="false"/>
      <protection locked="true" hidden="false"/>
    </xf>
    <xf numFmtId="166" fontId="7" fillId="25" borderId="31" xfId="0" applyFont="true" applyBorder="true" applyAlignment="true" applyProtection="true">
      <alignment horizontal="general" vertical="bottom" textRotation="0" wrapText="false" indent="0" shrinkToFit="false"/>
      <protection locked="true" hidden="false"/>
    </xf>
    <xf numFmtId="167" fontId="7" fillId="25" borderId="31" xfId="0" applyFont="true" applyBorder="true" applyAlignment="true" applyProtection="true">
      <alignment horizontal="center" vertical="bottom" textRotation="0" wrapText="false" indent="0" shrinkToFit="false"/>
      <protection locked="true" hidden="false"/>
    </xf>
    <xf numFmtId="166" fontId="12" fillId="25" borderId="31" xfId="0" applyFont="true" applyBorder="true" applyAlignment="true" applyProtection="true">
      <alignment horizontal="right" vertical="bottom" textRotation="0" wrapText="false" indent="0" shrinkToFit="false"/>
      <protection locked="true" hidden="false"/>
    </xf>
    <xf numFmtId="166" fontId="12" fillId="25" borderId="32" xfId="0" applyFont="true" applyBorder="true" applyAlignment="true" applyProtection="true">
      <alignment horizontal="general" vertical="bottom" textRotation="0" wrapText="false" indent="0" shrinkToFit="false"/>
      <protection locked="true" hidden="false"/>
    </xf>
    <xf numFmtId="168" fontId="7" fillId="25" borderId="31" xfId="0" applyFont="true" applyBorder="true" applyAlignment="true" applyProtection="true">
      <alignment horizontal="general" vertical="bottom" textRotation="0" wrapText="false" indent="0" shrinkToFit="false"/>
      <protection locked="true" hidden="false"/>
    </xf>
    <xf numFmtId="164" fontId="7" fillId="25" borderId="31" xfId="0" applyFont="true" applyBorder="true" applyAlignment="true" applyProtection="true">
      <alignment horizontal="right" vertical="bottom" textRotation="0" wrapText="false" indent="0" shrinkToFit="false"/>
      <protection locked="true" hidden="false"/>
    </xf>
    <xf numFmtId="164" fontId="7" fillId="25" borderId="31" xfId="0" applyFont="true" applyBorder="true" applyAlignment="true" applyProtection="true">
      <alignment horizontal="general" vertical="bottom" textRotation="0" wrapText="false" indent="0" shrinkToFit="false"/>
      <protection locked="true" hidden="false"/>
    </xf>
    <xf numFmtId="171" fontId="7" fillId="25" borderId="31" xfId="0" applyFont="true" applyBorder="true" applyAlignment="true" applyProtection="true">
      <alignment horizontal="general" vertical="bottom" textRotation="0" wrapText="false" indent="0" shrinkToFit="false"/>
      <protection locked="true" hidden="false"/>
    </xf>
    <xf numFmtId="164" fontId="11" fillId="25" borderId="31" xfId="0" applyFont="true" applyBorder="true" applyAlignment="true" applyProtection="true">
      <alignment horizontal="general" vertical="bottom" textRotation="0" wrapText="false" indent="0" shrinkToFit="false"/>
      <protection locked="true" hidden="false"/>
    </xf>
    <xf numFmtId="169" fontId="7" fillId="25" borderId="31" xfId="0" applyFont="true" applyBorder="true" applyAlignment="true" applyProtection="true">
      <alignment horizontal="general" vertical="bottom" textRotation="0" wrapText="false" indent="0" shrinkToFit="false"/>
      <protection locked="true" hidden="false"/>
    </xf>
    <xf numFmtId="168" fontId="7" fillId="25" borderId="31" xfId="0" applyFont="true" applyBorder="true" applyAlignment="true" applyProtection="true">
      <alignment horizontal="center" vertical="bottom" textRotation="0" wrapText="false" indent="0" shrinkToFit="false"/>
      <protection locked="true" hidden="false"/>
    </xf>
    <xf numFmtId="170" fontId="7" fillId="25" borderId="33" xfId="0" applyFont="true" applyBorder="true" applyAlignment="true" applyProtection="true">
      <alignment horizontal="general" vertical="bottom" textRotation="0" wrapText="false" indent="0" shrinkToFit="false"/>
      <protection locked="true" hidden="false"/>
    </xf>
    <xf numFmtId="166" fontId="12" fillId="0" borderId="0" xfId="0" applyFont="true" applyBorder="false" applyAlignment="true" applyProtection="true">
      <alignment horizontal="right" vertical="bottom" textRotation="0" wrapText="false" indent="0" shrinkToFit="false"/>
      <protection locked="true" hidden="false"/>
    </xf>
    <xf numFmtId="166" fontId="12" fillId="0" borderId="17" xfId="0" applyFont="true" applyBorder="true" applyAlignment="true" applyProtection="true">
      <alignment horizontal="right" vertical="bottom" textRotation="0" wrapText="false" indent="0" shrinkToFit="false"/>
      <protection locked="true" hidden="false"/>
    </xf>
    <xf numFmtId="166" fontId="12" fillId="0" borderId="17" xfId="0" applyFont="true" applyBorder="true" applyAlignment="true" applyProtection="true">
      <alignment horizontal="general" vertical="bottom" textRotation="0" wrapText="false" indent="0" shrinkToFit="false"/>
      <protection locked="true" hidden="false"/>
    </xf>
    <xf numFmtId="165" fontId="4" fillId="46" borderId="0" xfId="0" applyFont="true" applyBorder="false" applyAlignment="true" applyProtection="true">
      <alignment horizontal="general" vertical="bottom" textRotation="0" wrapText="false" indent="0" shrinkToFit="false"/>
      <protection locked="true" hidden="false"/>
    </xf>
    <xf numFmtId="166" fontId="4" fillId="25"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74" fontId="4" fillId="25" borderId="0" xfId="0" applyFont="true" applyBorder="false" applyAlignment="true" applyProtection="true">
      <alignment horizontal="general" vertical="bottom" textRotation="0" wrapText="false" indent="0" shrinkToFit="false"/>
      <protection locked="true" hidden="false"/>
    </xf>
    <xf numFmtId="174" fontId="7" fillId="0" borderId="0" xfId="0" applyFont="true" applyBorder="false" applyAlignment="true" applyProtection="true">
      <alignment horizontal="center" vertical="bottom" textRotation="0" wrapText="false" indent="0" shrinkToFit="false"/>
      <protection locked="true" hidden="false"/>
    </xf>
    <xf numFmtId="179" fontId="36" fillId="46" borderId="0" xfId="0" applyFont="true" applyBorder="false" applyAlignment="true" applyProtection="true">
      <alignment horizontal="general" vertical="bottom" textRotation="0" wrapText="false" indent="0" shrinkToFit="false"/>
      <protection locked="true" hidden="false"/>
    </xf>
    <xf numFmtId="179" fontId="4" fillId="25" borderId="0" xfId="0" applyFont="true" applyBorder="false" applyAlignment="true" applyProtection="true">
      <alignment horizontal="general" vertical="bottom" textRotation="0" wrapText="false" indent="0" shrinkToFit="false"/>
      <protection locked="true" hidden="false"/>
    </xf>
    <xf numFmtId="179" fontId="7" fillId="0" borderId="0" xfId="0" applyFont="true" applyBorder="false" applyAlignment="true" applyProtection="true">
      <alignment horizontal="center" vertical="bottom" textRotation="0" wrapText="false" indent="0" shrinkToFit="false"/>
      <protection locked="true" hidden="false"/>
    </xf>
    <xf numFmtId="180" fontId="7" fillId="0" borderId="0" xfId="0" applyFont="true" applyBorder="false" applyAlignment="true" applyProtection="true">
      <alignment horizontal="general" vertical="bottom" textRotation="0" wrapText="false" indent="0" shrinkToFit="false"/>
      <protection locked="true" hidden="false"/>
    </xf>
    <xf numFmtId="180" fontId="6" fillId="15" borderId="0" xfId="0" applyFont="true" applyBorder="fals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20" fillId="15" borderId="0" xfId="0" applyFont="true" applyBorder="false" applyAlignment="true" applyProtection="true">
      <alignment horizontal="general" vertical="bottom" textRotation="0" wrapText="false" indent="0" shrinkToFit="false"/>
      <protection locked="true" hidden="false"/>
    </xf>
    <xf numFmtId="165" fontId="12" fillId="13" borderId="0" xfId="0" applyFont="true" applyBorder="false" applyAlignment="true" applyProtection="true">
      <alignment horizontal="right" vertical="bottom" textRotation="0" wrapText="false" indent="0" shrinkToFit="false"/>
      <protection locked="true" hidden="false"/>
    </xf>
    <xf numFmtId="166" fontId="12" fillId="15" borderId="0" xfId="0" applyFont="true" applyBorder="false" applyAlignment="true" applyProtection="true">
      <alignment horizontal="right" vertical="bottom" textRotation="0" wrapText="false" indent="0" shrinkToFit="false"/>
      <protection locked="true" hidden="false"/>
    </xf>
    <xf numFmtId="167" fontId="12" fillId="0" borderId="0" xfId="0" applyFont="true" applyBorder="false" applyAlignment="true" applyProtection="true">
      <alignment horizontal="center" vertical="bottom" textRotation="0" wrapText="false" indent="0" shrinkToFit="false"/>
      <protection locked="true" hidden="false"/>
    </xf>
    <xf numFmtId="172" fontId="12" fillId="16" borderId="0" xfId="0" applyFont="true" applyBorder="false" applyAlignment="true" applyProtection="true">
      <alignment horizontal="right" vertical="bottom" textRotation="0" wrapText="false" indent="0" shrinkToFit="false"/>
      <protection locked="true" hidden="false"/>
    </xf>
    <xf numFmtId="166" fontId="12" fillId="60" borderId="0" xfId="0" applyFont="true" applyBorder="false" applyAlignment="true" applyProtection="true">
      <alignment horizontal="right"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9" fontId="12" fillId="0" borderId="0" xfId="0" applyFont="true" applyBorder="fals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center" vertical="bottom" textRotation="0" wrapText="false" indent="0" shrinkToFit="false"/>
      <protection locked="true" hidden="false"/>
    </xf>
    <xf numFmtId="170" fontId="12" fillId="0" borderId="0" xfId="0" applyFont="true" applyBorder="false" applyAlignment="true" applyProtection="true">
      <alignment horizontal="general" vertical="bottom" textRotation="0" wrapText="false" indent="0" shrinkToFit="false"/>
      <protection locked="true" hidden="false"/>
    </xf>
    <xf numFmtId="171" fontId="12" fillId="0" borderId="0" xfId="0" applyFont="true" applyBorder="false" applyAlignment="true" applyProtection="true">
      <alignment horizontal="general" vertical="bottom" textRotation="0" wrapText="false" indent="0" shrinkToFit="false"/>
      <protection locked="true" hidden="false"/>
    </xf>
    <xf numFmtId="164" fontId="19" fillId="15" borderId="20" xfId="0" applyFont="true" applyBorder="true" applyAlignment="true" applyProtection="true">
      <alignment horizontal="general" vertical="bottom" textRotation="0" wrapText="false" indent="0" shrinkToFit="false"/>
      <protection locked="true" hidden="false"/>
    </xf>
    <xf numFmtId="165" fontId="12" fillId="13" borderId="21" xfId="0" applyFont="true" applyBorder="true" applyAlignment="true" applyProtection="true">
      <alignment horizontal="right" vertical="bottom" textRotation="0" wrapText="false" indent="0" shrinkToFit="false"/>
      <protection locked="true" hidden="false"/>
    </xf>
    <xf numFmtId="166" fontId="12" fillId="15" borderId="21" xfId="0" applyFont="true" applyBorder="true" applyAlignment="true" applyProtection="true">
      <alignment horizontal="right" vertical="bottom" textRotation="0" wrapText="false" indent="0" shrinkToFit="false"/>
      <protection locked="true" hidden="false"/>
    </xf>
    <xf numFmtId="167" fontId="12" fillId="0" borderId="21" xfId="0" applyFont="true" applyBorder="true" applyAlignment="true" applyProtection="true">
      <alignment horizontal="center" vertical="bottom" textRotation="0" wrapText="false" indent="0" shrinkToFit="false"/>
      <protection locked="true" hidden="false"/>
    </xf>
    <xf numFmtId="172" fontId="12" fillId="16" borderId="21" xfId="0" applyFont="true" applyBorder="true" applyAlignment="true" applyProtection="true">
      <alignment horizontal="right" vertical="bottom" textRotation="0" wrapText="false" indent="0" shrinkToFit="false"/>
      <protection locked="true" hidden="false"/>
    </xf>
    <xf numFmtId="166" fontId="12" fillId="60" borderId="21" xfId="0" applyFont="true" applyBorder="true" applyAlignment="true" applyProtection="true">
      <alignment horizontal="right" vertical="bottom" textRotation="0" wrapText="false" indent="0" shrinkToFit="false"/>
      <protection locked="true" hidden="false"/>
    </xf>
    <xf numFmtId="164" fontId="12" fillId="0" borderId="21" xfId="0" applyFont="true" applyBorder="true" applyAlignment="true" applyProtection="true">
      <alignment horizontal="general" vertical="bottom" textRotation="0" wrapText="false" indent="0" shrinkToFit="false"/>
      <protection locked="true" hidden="false"/>
    </xf>
    <xf numFmtId="169" fontId="12" fillId="0" borderId="21" xfId="0" applyFont="true" applyBorder="true" applyAlignment="true" applyProtection="true">
      <alignment horizontal="general" vertical="bottom" textRotation="0" wrapText="false" indent="0" shrinkToFit="false"/>
      <protection locked="true" hidden="false"/>
    </xf>
    <xf numFmtId="168" fontId="12" fillId="0" borderId="21" xfId="0" applyFont="true" applyBorder="true" applyAlignment="true" applyProtection="true">
      <alignment horizontal="center" vertical="bottom" textRotation="0" wrapText="false" indent="0" shrinkToFit="false"/>
      <protection locked="true" hidden="false"/>
    </xf>
    <xf numFmtId="170" fontId="12" fillId="0" borderId="21" xfId="0" applyFont="true" applyBorder="true" applyAlignment="true" applyProtection="true">
      <alignment horizontal="general" vertical="bottom" textRotation="0" wrapText="false" indent="0" shrinkToFit="false"/>
      <protection locked="true" hidden="false"/>
    </xf>
    <xf numFmtId="171" fontId="12" fillId="0" borderId="21" xfId="0" applyFont="true" applyBorder="true" applyAlignment="true" applyProtection="true">
      <alignment horizontal="general" vertical="bottom" textRotation="0" wrapText="false" indent="0" shrinkToFit="false"/>
      <protection locked="true" hidden="false"/>
    </xf>
    <xf numFmtId="164" fontId="19" fillId="15" borderId="0" xfId="0" applyFont="true" applyBorder="false" applyAlignment="true" applyProtection="true">
      <alignment horizontal="general" vertical="bottom" textRotation="0" wrapText="false" indent="0" shrinkToFit="false"/>
      <protection locked="true" hidden="false"/>
    </xf>
    <xf numFmtId="164" fontId="37" fillId="15"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6FA8DC"/>
        </patternFill>
      </fill>
    </dxf>
    <dxf>
      <fill>
        <patternFill patternType="solid">
          <fgColor rgb="00FFFFFF"/>
        </patternFill>
      </fill>
    </dxf>
    <dxf>
      <fill>
        <patternFill>
          <bgColor rgb="FF00FF00"/>
        </patternFill>
      </fill>
    </dxf>
    <dxf>
      <fill>
        <patternFill>
          <bgColor rgb="FF6AA84F"/>
        </patternFill>
      </fill>
    </dxf>
    <dxf>
      <fill>
        <patternFill>
          <bgColor rgb="FFFFD966"/>
        </patternFill>
      </fill>
    </dxf>
    <dxf>
      <fill>
        <patternFill>
          <bgColor rgb="FFEA9999"/>
        </patternFill>
      </fill>
    </dxf>
    <dxf>
      <fill>
        <patternFill>
          <bgColor rgb="FFE06666"/>
        </patternFill>
      </fill>
    </dxf>
    <dxf>
      <fill>
        <patternFill>
          <bgColor rgb="FF8E7CC3"/>
        </patternFill>
      </fill>
    </dxf>
    <dxf>
      <font>
        <b val="1"/>
        <color rgb="FFFFFFFF"/>
      </font>
      <fill>
        <patternFill>
          <bgColor rgb="00FFFFFF"/>
        </patternFill>
      </fill>
    </dxf>
    <dxf>
      <fill>
        <patternFill>
          <bgColor rgb="FFB7E1CD"/>
        </patternFill>
      </fill>
    </dxf>
    <dxf>
      <font>
        <color rgb="FFEFEFEF"/>
      </font>
      <fill>
        <patternFill>
          <bgColor rgb="00FFFFFF"/>
        </patternFill>
      </fill>
    </dxf>
    <dxf>
      <font>
        <color rgb="FFCCCCCC"/>
      </font>
      <fill>
        <patternFill>
          <bgColor rgb="FFB7E1CD"/>
        </patternFill>
      </fill>
    </dxf>
    <dxf>
      <fill>
        <patternFill>
          <bgColor rgb="FFFCE8B2"/>
        </patternFill>
      </fill>
    </dxf>
    <dxf>
      <fill>
        <patternFill>
          <bgColor rgb="FFCFE2F3"/>
        </patternFill>
      </fill>
    </dxf>
    <dxf>
      <fill>
        <patternFill>
          <bgColor rgb="FF9FC5E8"/>
        </patternFill>
      </fill>
    </dxf>
    <dxf>
      <fill>
        <patternFill>
          <bgColor rgb="FF6FA8DC"/>
        </patternFill>
      </fill>
    </dxf>
    <dxf>
      <fill>
        <patternFill patternType="solid">
          <fgColor rgb="FFFCE8B2"/>
        </patternFill>
      </fill>
    </dxf>
    <dxf>
      <fill>
        <patternFill patternType="solid">
          <fgColor rgb="FFFFD966"/>
        </patternFill>
      </fill>
    </dxf>
    <dxf>
      <font>
        <color rgb="FF000000"/>
      </font>
      <fill>
        <patternFill>
          <bgColor rgb="FFFFE599"/>
        </patternFill>
      </fill>
    </dxf>
    <dxf>
      <font>
        <color rgb="FF000000"/>
      </font>
      <fill>
        <patternFill>
          <bgColor rgb="FFE06666"/>
        </patternFill>
      </fill>
    </dxf>
  </dxfs>
  <colors>
    <indexedColors>
      <rgbColor rgb="FF000000"/>
      <rgbColor rgb="FFFFFFFF"/>
      <rgbColor rgb="FFFF0000"/>
      <rgbColor rgb="FF00FF00"/>
      <rgbColor rgb="FF0000FF"/>
      <rgbColor rgb="FFFFE599"/>
      <rgbColor rgb="FFD2A1B8"/>
      <rgbColor rgb="FF96B5D1"/>
      <rgbColor rgb="FFE3C3D1"/>
      <rgbColor rgb="FFB6D7A8"/>
      <rgbColor rgb="FFD9D2E9"/>
      <rgbColor rgb="FF5084B2"/>
      <rgbColor rgb="FFD8AFC2"/>
      <rgbColor rgb="FF3F77AA"/>
      <rgbColor rgb="FFC3B8DC"/>
      <rgbColor rgb="FF8E7CC3"/>
      <rgbColor rgb="FFA697CC"/>
      <rgbColor rgb="FFB87094"/>
      <rgbColor rgb="FFFFF2CC"/>
      <rgbColor rgb="FFCFE2F3"/>
      <rgbColor rgb="FF681C43"/>
      <rgbColor rgb="FFDD7E6B"/>
      <rgbColor rgb="FF1155CC"/>
      <rgbColor rgb="FFD0C7E4"/>
      <rgbColor rgb="FFEAD1DC"/>
      <rgbColor rgb="FFD5A6BD"/>
      <rgbColor rgb="FFF6B26B"/>
      <rgbColor rgb="FFA4C2F4"/>
      <rgbColor rgb="FFDCB4C7"/>
      <rgbColor rgb="FFCCCCCC"/>
      <rgbColor rgb="FF3D85C6"/>
      <rgbColor rgb="FFC9DAF8"/>
      <rgbColor rgb="FF6D9EEB"/>
      <rgbColor rgb="FFEFEFEF"/>
      <rgbColor rgb="FFD9EAD3"/>
      <rgbColor rgb="FFFCE8B2"/>
      <rgbColor rgb="FF9FC5E8"/>
      <rgbColor rgb="FFEA9999"/>
      <rgbColor rgb="FFB4A7D6"/>
      <rgbColor rgb="FFF4CCCC"/>
      <rgbColor rgb="FF3C78D8"/>
      <rgbColor rgb="FF6FA8DC"/>
      <rgbColor rgb="FF93C47D"/>
      <rgbColor rgb="FFFFD966"/>
      <rgbColor rgb="FFE69138"/>
      <rgbColor rgb="FFE06666"/>
      <rgbColor rgb="FF674EA7"/>
      <rgbColor rgb="FF9A89C5"/>
      <rgbColor rgb="FFCBC2E2"/>
      <rgbColor rgb="FF6AA84F"/>
      <rgbColor rgb="FFB7E1CD"/>
      <rgbColor rgb="FFDDB8C9"/>
      <rgbColor rgb="FFC78DA9"/>
      <rgbColor rgb="FFC27BA0"/>
      <rgbColor rgb="FFAC9ECF"/>
      <rgbColor rgb="FFBEB3D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s://phillipreeve.net/blog/rolling-review-zeiss-loxia-distagon-2-821mm-t/" TargetMode="External"/><Relationship Id="rId10" Type="http://schemas.openxmlformats.org/officeDocument/2006/relationships/hyperlink" Target="https://www.bhphotovideo.com/c/product/1634152-REG/samyang_syio2418_e_24mm_f_1_8_af_compact.html/BI/19619/KBID/12129/DFF/d10-v21-t1-x1108707/SID/EZ" TargetMode="External"/><Relationship Id="rId11" Type="http://schemas.openxmlformats.org/officeDocument/2006/relationships/hyperlink" Target="https://www.bhphotovideo.com/c/product/1661248-REG/sigma_24mm_f_2_dg_dn.html/BI/19619/KBID/12129/DFF/d10-v21-t1-x1136866/SID/EZ" TargetMode="External"/><Relationship Id="rId12"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3" Type="http://schemas.openxmlformats.org/officeDocument/2006/relationships/hyperlink" Target="https://www.bhphotovideo.com/c/product/1605138-REG/sigma_24mm_f_3_5_dg_dn.html/BI/19619/KBID/12129/DFF/d10-v21-t1-x1080984/SID/EZ" TargetMode="External"/><Relationship Id="rId14" Type="http://schemas.openxmlformats.org/officeDocument/2006/relationships/hyperlink" Target="https://www.bhphotovideo.com/c/product/1624216-REG/sigma_592965_28_70mm_f_2_8_contemporary_dg.html/BI/19619/KBID/12129/DFF/d10-v21-t1-x1101696/SID/EZ" TargetMode="External"/><Relationship Id="rId15" Type="http://schemas.openxmlformats.org/officeDocument/2006/relationships/hyperlink" Target="https://www.bhphotovideo.com/c/product/1658157-REG/tamron_a063_28_75mm_f_2_8_di_iii.html/BI/19619/KBID/12129/DFF/d10-v21-t1-x1131723/SID/EZ" TargetMode="External"/><Relationship Id="rId16" Type="http://schemas.openxmlformats.org/officeDocument/2006/relationships/hyperlink" Target="https://amzn.to/3tvq6gi" TargetMode="External"/><Relationship Id="rId17" Type="http://schemas.openxmlformats.org/officeDocument/2006/relationships/hyperlink" Target="https://www.bhphotovideo.com/c/product/1592780-REG/sony_fe_28_60mm_f_4_5_6_lens.html/BI/19619/KBID/12129/DFF/d10-v21-t1-x1071442/SID/EZ" TargetMode="External"/><Relationship Id="rId18" Type="http://schemas.openxmlformats.org/officeDocument/2006/relationships/hyperlink" Target="https://amzn.to/30MYffh" TargetMode="External"/><Relationship Id="rId19"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20" Type="http://schemas.openxmlformats.org/officeDocument/2006/relationships/hyperlink" Target="https://amzn.to/2Zc0AR8" TargetMode="External"/><Relationship Id="rId21" Type="http://schemas.openxmlformats.org/officeDocument/2006/relationships/hyperlink" Target="https://www.bhphotovideo.com/c/product/1576544-REG/voigtlander_ba355c_nokton_35mm_f_1_2_aspherical.html/BI/19619/KBID/12129/DFF/d10-v21-t1-x1056288/SID/EZ" TargetMode="External"/><Relationship Id="rId22" Type="http://schemas.openxmlformats.org/officeDocument/2006/relationships/hyperlink" Target="https://www.bhphotovideo.com/c/product/1613424-REG/sony_fe35f14gm_fe_35mm_f_1_4_gm.html/BI/19619/KBID/12129/DFF/d10-v21-t1-x1091840/SID/EZ" TargetMode="External"/><Relationship Id="rId23" Type="http://schemas.openxmlformats.org/officeDocument/2006/relationships/hyperlink" Target="https://amzn.to/3d0Ki3p" TargetMode="External"/><Relationship Id="rId24" Type="http://schemas.openxmlformats.org/officeDocument/2006/relationships/hyperlink" Target="https://www.bhphotovideo.com/c/product/1593677-REG/rokinon_io3518_e_af_35mm_f_1_8_fe.html/BI/19619/KBID/12129/DFF/d10-v21-t1-x1071430/SID/EZ" TargetMode="External"/><Relationship Id="rId25" Type="http://schemas.openxmlformats.org/officeDocument/2006/relationships/hyperlink" Target="https://amzn.to/3eQvnuT" TargetMode="External"/><Relationship Id="rId26" Type="http://schemas.openxmlformats.org/officeDocument/2006/relationships/hyperlink" Target="https://amzn.to/3vsFLit" TargetMode="External"/><Relationship Id="rId27" Type="http://schemas.openxmlformats.org/officeDocument/2006/relationships/hyperlink" Target="https://www.bhphotovideo.com/c/product/1605136-REG/sigma_35mm_f_2_dg_dn.html/BI/19619/KBID/12129/DFF/d10-v21-t1-x1080982/SID/EZ" TargetMode="External"/><Relationship Id="rId28"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9" Type="http://schemas.openxmlformats.org/officeDocument/2006/relationships/hyperlink" Target="https://www.bhphotovideo.com/c/product/1616696-REG/yongnuo_yn35mm_f2_df_dsm.html/BI/19619/KBID/12129/DFF/d10-v21-t1-x1091331/SID/EZ" TargetMode="External"/><Relationship Id="rId30" Type="http://schemas.openxmlformats.org/officeDocument/2006/relationships/hyperlink" Target="https://www.bhphotovideo.com/c/product/1658158-REG/tamron_a058_35_150mm_f_f_2_2_8_di_iii.html/BI/19619/KBID/12129/DFF/d10-v21-t1-x1131722/SID/EZ" TargetMode="External"/><Relationship Id="rId31" Type="http://schemas.openxmlformats.org/officeDocument/2006/relationships/hyperlink" Target="https://amzn.to/2ZQ8Sx8" TargetMode="External"/><Relationship Id="rId32" Type="http://schemas.openxmlformats.org/officeDocument/2006/relationships/hyperlink" Target="https://amzn.to/31VSLRa" TargetMode="External"/><Relationship Id="rId33" Type="http://schemas.openxmlformats.org/officeDocument/2006/relationships/hyperlink" Target="https://amzn.to/2BYY8o6" TargetMode="External"/><Relationship Id="rId34" Type="http://schemas.openxmlformats.org/officeDocument/2006/relationships/hyperlink" Target="https://amzn.to/2ZVMlPn" TargetMode="External"/><Relationship Id="rId35" Type="http://schemas.openxmlformats.org/officeDocument/2006/relationships/hyperlink" Target="https://www.bhphotovideo.com/c/product/1630079-REG/sony_sel50f12gm_fe_50mm_f_1_2_gm.html/BI/19619/KBID/12129/DFF/d10-v21-t1-x1105331/SID/EZ" TargetMode="External"/><Relationship Id="rId36" Type="http://schemas.openxmlformats.org/officeDocument/2006/relationships/hyperlink" Target="https://www.bhphotovideo.com/c/product/1605134-REG/sigma_65mm_f_2_dg_dn.html/BI/19619/KBID/12129/DFF/d10-v21-t1-x1080980/SID/EZ" TargetMode="External"/><Relationship Id="rId37" Type="http://schemas.openxmlformats.org/officeDocument/2006/relationships/hyperlink" Target="https://amzn.to/3jckrYw" TargetMode="External"/><Relationship Id="rId38" Type="http://schemas.openxmlformats.org/officeDocument/2006/relationships/hyperlink" Target="https://www.bhphotovideo.com/c/product/1666363-REG/sony_fe_70_200mm_f_2_8_gm.html/BI/19619/KBID/12129/DFF/d10-v21-t1-x1140502/SID/EZ" TargetMode="External"/><Relationship Id="rId39" Type="http://schemas.openxmlformats.org/officeDocument/2006/relationships/hyperlink" Target="https://www.bhphotovideo.com/c/product/1556769-REG/tamron_afa056s_700_70_180mm_f_2_8_di_iii.html/BI/19619/KBID/12129/DFF/d10-v21-t1-x1038251/SID/EZ" TargetMode="External"/><Relationship Id="rId40" Type="http://schemas.openxmlformats.org/officeDocument/2006/relationships/hyperlink" Target="https://amzn.to/3ljVsnl" TargetMode="External"/><Relationship Id="rId41" Type="http://schemas.openxmlformats.org/officeDocument/2006/relationships/hyperlink" Target="https://www.bhphotovideo.com/c/product/1582345-REG/tamron_a047_70_300mm_f_4_5_6_3_di_iii.html/BI/19619/KBID/12129/DFF/d10-v21-t1-x1073545/SID/EZ" TargetMode="External"/><Relationship Id="rId42" Type="http://schemas.openxmlformats.org/officeDocument/2006/relationships/hyperlink" Target="https://amzn.to/3qJicOJ" TargetMode="External"/><Relationship Id="rId43"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44" Type="http://schemas.openxmlformats.org/officeDocument/2006/relationships/hyperlink" Target="https://amzn.to/30lvyFI" TargetMode="External"/><Relationship Id="rId45" Type="http://schemas.openxmlformats.org/officeDocument/2006/relationships/hyperlink" Target="https://www.bhphotovideo.com/c/product/1558714-REG/samyang_syio75af_e_af_75mm_f_1_8_fe.html/BI/19619/KBID/12129/DFF/d10-v21-t1-x1039688/SID/EZ" TargetMode="External"/><Relationship Id="rId46" Type="http://schemas.openxmlformats.org/officeDocument/2006/relationships/hyperlink" Target="https://amzn.to/3fEngPB" TargetMode="External"/><Relationship Id="rId47" Type="http://schemas.openxmlformats.org/officeDocument/2006/relationships/hyperlink" Target="https://www.bhphotovideo.com/c/product/1538410-REG/tokina_atx_m_af85fe_atx_m_85mm_f_1_8_fe.html/BI/19619/KBID/12129/DFF/d10-v21-t1-x1022449/SID/EZ" TargetMode="External"/><Relationship Id="rId48" Type="http://schemas.openxmlformats.org/officeDocument/2006/relationships/hyperlink" Target="https://www.bhphotovideo.com/c/product/1615116-REG/yongnuo_yn85mm_f1_8s_df_dsm.html/BI/19619/KBID/12129/DFF/d10-v21-t1-x1089517/SID/EZ" TargetMode="External"/><Relationship Id="rId49" Type="http://schemas.openxmlformats.org/officeDocument/2006/relationships/hyperlink" Target="https://www.bhphotovideo.com/c/product/1568623-REG/sigma_100_400mm_f_5_6_3_dg_dn.html/BI/19619/KBID/12129/DFF/d10-v21-t1-x1050655/SID/EZ" TargetMode="External"/><Relationship Id="rId50" Type="http://schemas.openxmlformats.org/officeDocument/2006/relationships/hyperlink" Target="https://phillipreeve.net/blog/sony-gm-100-400-f-4-5-5-6/" TargetMode="External"/><Relationship Id="rId51" Type="http://schemas.openxmlformats.org/officeDocument/2006/relationships/hyperlink" Target="https://phillipreeve.net/blog/zeiss-batis-apo-sonnar-t-135mm-f2-8/" TargetMode="External"/><Relationship Id="rId52" Type="http://schemas.openxmlformats.org/officeDocument/2006/relationships/hyperlink" Target="https://amzn.to/3iQmhOg" TargetMode="External"/><Relationship Id="rId53" Type="http://schemas.openxmlformats.org/officeDocument/2006/relationships/hyperlink" Target="https://phillipreeve.net/blog/guide-to-best-sony-e-mount-35mm-lenses-for-a7iii-a7ii-a7riv-a7riii/" TargetMode="External"/><Relationship Id="rId54" Type="http://schemas.openxmlformats.org/officeDocument/2006/relationships/hyperlink" Target="https://phillipreeve.net/blog/guide-to-the-best-50mm-lenses-for-full-frame-sony-e-mount-cameras-a7iii-a7ii-a7riv-a7riii-a9-a9ii/" TargetMode="External"/><Relationship Id="rId5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hyperlink" Target="http://rover.ebay.com/rover/1/711-53200-19255-0/1?icep_ff3=9&amp;pub=5575076376&amp;toolid=10001&amp;campid=5338573609&amp;customid=&amp;icep_uq=sony+12-24+g&amp;icep_sellerId=&amp;icep_ex_kw=&amp;icep_sortBy=12&amp;icep_catId=3323&amp;icep_minPrice=&amp;icep_maxPrice=&amp;ipn=psmain&amp;icep_vectorid=2294" TargetMode="External"/><Relationship Id="rId5" Type="http://schemas.openxmlformats.org/officeDocument/2006/relationships/hyperlink" Target="https://www.bhphotovideo.com/c/product/1573884-REG/sony_sel1224gm_12_24mm_f_2_8_gm_lens.html/BI/19619/KBID/12129/DFF/d10-v21-t1-x1055422/SID/EZ" TargetMode="External"/><Relationship Id="rId6" Type="http://schemas.openxmlformats.org/officeDocument/2006/relationships/hyperlink" Target="http://rover.ebay.com/rover/1/711-53200-19255-0/1?icep_ff3=9&amp;pub=5575076376&amp;toolid=10001&amp;campid=5338573609&amp;customid=&amp;icep_uq=sony+12-24+gm&amp;icep_sellerId=&amp;icep_ex_kw=&amp;icep_sortBy=12&amp;icep_catId=3323&amp;icep_minPrice=&amp;icep_maxPrice=&amp;ipn=psmain&amp;icep_vectorid=229" TargetMode="External"/><Relationship Id="rId7" Type="http://schemas.openxmlformats.org/officeDocument/2006/relationships/hyperlink" Target="https://www.bhphotovideo.com/c/product/1503295-REG/samyang_syio18af_e_af_18mm_f_2_8_fe.html/BI/19619/KBID/12129/DFF/d10-v21-t1-x985623/SID/EZ" TargetMode="External"/><Relationship Id="rId8" Type="http://schemas.openxmlformats.org/officeDocument/2006/relationships/hyperlink" Target="https://amzn.to/38zcYOc" TargetMode="External"/><Relationship Id="rId9" Type="http://schemas.openxmlformats.org/officeDocument/2006/relationships/hyperlink" Target="http://rover.ebay.com/rover/1/711-53200-19255-0/1?icep_ff3=9&amp;pub=5575076376&amp;toolid=10001&amp;campid=5338573609&amp;customid=&amp;icep_uq=sony+sigma+art+24-70+2.8&amp;icep_sellerId=&amp;icep_ex_kw=&amp;icep_sortBy=12&amp;icep_catId=3323&amp;icep_minPrice=&amp;icep_maxPrice=&amp;ipn=psmain&amp;icep_v" TargetMode="External"/><Relationship Id="rId10" Type="http://schemas.openxmlformats.org/officeDocument/2006/relationships/hyperlink" Target="https://www.bhphotovideo.com/c/product/1605138-REG/sigma_24mm_f_3_5_dg_dn.html/BI/19619/KBID/12129/DFF/d10-v21-t1-x1080984/SID/EZ" TargetMode="External"/><Relationship Id="rId11" Type="http://schemas.openxmlformats.org/officeDocument/2006/relationships/hyperlink" Target="https://www.bhphotovideo.com/c/product/1624216-REG/sigma_592965_28_70mm_f_2_8_contemporary_dg.html/BI/19619/KBID/12129/DFF/d10-v21-t1-x1101696/SID/EZ" TargetMode="External"/><Relationship Id="rId12" Type="http://schemas.openxmlformats.org/officeDocument/2006/relationships/hyperlink" Target="https://amzn.to/3tvq6gi" TargetMode="External"/><Relationship Id="rId13" Type="http://schemas.openxmlformats.org/officeDocument/2006/relationships/hyperlink" Target="https://www.bhphotovideo.com/c/product/1592780-REG/sony_fe_28_60mm_f_4_5_6_lens.html/BI/19619/KBID/12129/DFF/d10-v21-t1-x1071442/SID/EZ" TargetMode="External"/><Relationship Id="rId14" Type="http://schemas.openxmlformats.org/officeDocument/2006/relationships/hyperlink" Target="https://amzn.to/30MYffh" TargetMode="External"/><Relationship Id="rId15" Type="http://schemas.openxmlformats.org/officeDocument/2006/relationships/hyperlink" Target="http://rover.ebay.com/rover/1/711-53200-19255-0/1?icep_ff3=10&amp;pub=5575076376&amp;toolid=10001&amp;campid=5338164340&amp;customid=&amp;icep_uq=sony+28-135&amp;icep_sellerId=&amp;icep_ex_kw=&amp;icep_sortBy=12&amp;icep_catId=&amp;icep_minPrice=&amp;icep_maxPrice=&amp;ipn=psmain&amp;icep_vectorid=229466&amp;k" TargetMode="External"/><Relationship Id="rId16" Type="http://schemas.openxmlformats.org/officeDocument/2006/relationships/hyperlink" Target="https://amzn.to/2Zc0AR8" TargetMode="External"/><Relationship Id="rId17" Type="http://schemas.openxmlformats.org/officeDocument/2006/relationships/hyperlink" Target="https://www.bhphotovideo.com/c/product/1576544-REG/voigtlander_ba355c_nokton_35mm_f_1_2_aspherical.html/BI/19619/KBID/12129/DFF/d10-v21-t1-x1056288/SID/EZ" TargetMode="External"/><Relationship Id="rId18" Type="http://schemas.openxmlformats.org/officeDocument/2006/relationships/hyperlink" Target="https://www.bhphotovideo.com/c/product/1613424-REG/sony_fe35f14gm_fe_35mm_f_1_4_gm.html/BI/19619/KBID/12129/DFF/d10-v21-t1-x1091840/SID/EZ" TargetMode="External"/><Relationship Id="rId19" Type="http://schemas.openxmlformats.org/officeDocument/2006/relationships/hyperlink" Target="https://amzn.to/3d0Ki3p" TargetMode="External"/><Relationship Id="rId20" Type="http://schemas.openxmlformats.org/officeDocument/2006/relationships/hyperlink" Target="https://www.bhphotovideo.com/c/product/1593677-REG/rokinon_io3518_e_af_35mm_f_1_8_fe.html/BI/19619/KBID/12129/DFF/d10-v21-t1-x1071430/SID/EZ" TargetMode="External"/><Relationship Id="rId21" Type="http://schemas.openxmlformats.org/officeDocument/2006/relationships/hyperlink" Target="https://amzn.to/3eQvnuT" TargetMode="External"/><Relationship Id="rId22" Type="http://schemas.openxmlformats.org/officeDocument/2006/relationships/hyperlink" Target="https://amzn.to/3vsFLit" TargetMode="External"/><Relationship Id="rId23" Type="http://schemas.openxmlformats.org/officeDocument/2006/relationships/hyperlink" Target="https://www.bhphotovideo.com/c/product/1605136-REG/sigma_35mm_f_2_dg_dn.html/BI/19619/KBID/12129/DFF/d10-v21-t1-x1080982/SID/EZ" TargetMode="External"/><Relationship Id="rId24" Type="http://schemas.openxmlformats.org/officeDocument/2006/relationships/hyperlink" Target="http://rover.ebay.com/rover/1/711-53200-19255-0/1?icep_ff3=9&amp;pub=5575076376&amp;toolid=10001&amp;campid=5338573609&amp;customid=&amp;icep_uq=sigma+35mm+f2+sony&amp;icep_sellerId=&amp;icep_ex_kw=&amp;icep_sortBy=12&amp;icep_catId=3323&amp;icep_minPrice=&amp;icep_maxPrice=&amp;ipn=psmain&amp;icep_vectori" TargetMode="External"/><Relationship Id="rId25" Type="http://schemas.openxmlformats.org/officeDocument/2006/relationships/hyperlink" Target="https://www.bhphotovideo.com/c/product/1616696-REG/yongnuo_yn35mm_f2_df_dsm.html/BI/19619/KBID/12129/DFF/d10-v21-t1-x1091331/SID/EZ" TargetMode="External"/><Relationship Id="rId26" Type="http://schemas.openxmlformats.org/officeDocument/2006/relationships/hyperlink" Target="https://amzn.to/2ZQ8Sx8" TargetMode="External"/><Relationship Id="rId27" Type="http://schemas.openxmlformats.org/officeDocument/2006/relationships/hyperlink" Target="https://amzn.to/31VSLRa" TargetMode="External"/><Relationship Id="rId28" Type="http://schemas.openxmlformats.org/officeDocument/2006/relationships/hyperlink" Target="https://amzn.to/2BYY8o6" TargetMode="External"/><Relationship Id="rId29" Type="http://schemas.openxmlformats.org/officeDocument/2006/relationships/hyperlink" Target="https://amzn.to/2ZVMlPn" TargetMode="External"/><Relationship Id="rId30" Type="http://schemas.openxmlformats.org/officeDocument/2006/relationships/hyperlink" Target="https://www.bhphotovideo.com/c/product/1630079-REG/sony_sel50f12gm_fe_50mm_f_1_2_gm.html/BI/19619/KBID/12129/DFF/d10-v21-t1-x1105331/SID/EZ" TargetMode="External"/><Relationship Id="rId31" Type="http://schemas.openxmlformats.org/officeDocument/2006/relationships/hyperlink" Target="https://www.bhphotovideo.com/c/product/1605134-REG/sigma_65mm_f_2_dg_dn.html/BI/19619/KBID/12129/DFF/d10-v21-t1-x1080980/SID/EZ" TargetMode="External"/><Relationship Id="rId32" Type="http://schemas.openxmlformats.org/officeDocument/2006/relationships/hyperlink" Target="https://amzn.to/3jckrYw" TargetMode="External"/><Relationship Id="rId33" Type="http://schemas.openxmlformats.org/officeDocument/2006/relationships/hyperlink" Target="https://www.bhphotovideo.com/c/product/1556769-REG/tamron_afa056s_700_70_180mm_f_2_8_di_iii.html/BI/19619/KBID/12129/DFF/d10-v21-t1-x1038251/SID/EZ" TargetMode="External"/><Relationship Id="rId34" Type="http://schemas.openxmlformats.org/officeDocument/2006/relationships/hyperlink" Target="https://amzn.to/3ljVsnl" TargetMode="External"/><Relationship Id="rId35" Type="http://schemas.openxmlformats.org/officeDocument/2006/relationships/hyperlink" Target="https://www.bhphotovideo.com/c/product/1582345-REG/tamron_a047_70_300mm_f_4_5_6_3_di_iii.html/BI/19619/KBID/12129/DFF/d10-v21-t1-x1073545/SID/EZ" TargetMode="External"/><Relationship Id="rId36" Type="http://schemas.openxmlformats.org/officeDocument/2006/relationships/hyperlink" Target="https://amzn.to/3qJicOJ" TargetMode="External"/><Relationship Id="rId37" Type="http://schemas.openxmlformats.org/officeDocument/2006/relationships/hyperlink" Target="http://rover.ebay.com/rover/1/711-53200-19255-0/1?icep_ff3=9&amp;pub=5575076376&amp;toolid=10001&amp;campid=5338164340&amp;customid=&amp;icep_uq=tamron+70-300+sony-vc-osd&amp;icep_sellerId=&amp;icep_ex_kw=&amp;icep_sortBy=12&amp;icep_catId=3323&amp;icep_minPrice=&amp;icep_maxPrice=&amp;ipn=psmain&amp;icep_" TargetMode="External"/><Relationship Id="rId38" Type="http://schemas.openxmlformats.org/officeDocument/2006/relationships/hyperlink" Target="https://amzn.to/30lvyFI" TargetMode="External"/><Relationship Id="rId39" Type="http://schemas.openxmlformats.org/officeDocument/2006/relationships/hyperlink" Target="https://www.bhphotovideo.com/c/product/1558714-REG/samyang_syio75af_e_af_75mm_f_1_8_fe.html/BI/19619/KBID/12129/DFF/d10-v21-t1-x1039688/SID/EZ" TargetMode="External"/><Relationship Id="rId40" Type="http://schemas.openxmlformats.org/officeDocument/2006/relationships/hyperlink" Target="https://amzn.to/3fEngPB" TargetMode="External"/><Relationship Id="rId41" Type="http://schemas.openxmlformats.org/officeDocument/2006/relationships/hyperlink" Target="https://www.bhphotovideo.com/c/product/1538410-REG/tokina_atx_m_af85fe_atx_m_85mm_f_1_8_fe.html/BI/19619/KBID/12129/DFF/d10-v21-t1-x1022449/SID/EZ" TargetMode="External"/><Relationship Id="rId42" Type="http://schemas.openxmlformats.org/officeDocument/2006/relationships/hyperlink" Target="https://www.bhphotovideo.com/c/product/1615116-REG/yongnuo_yn85mm_f1_8s_df_dsm.html/BI/19619/KBID/12129/DFF/d10-v21-t1-x1089517/SID/EZ" TargetMode="External"/><Relationship Id="rId43" Type="http://schemas.openxmlformats.org/officeDocument/2006/relationships/hyperlink" Target="https://www.bhphotovideo.com/c/product/1568623-REG/sigma_100_400mm_f_5_6_3_dg_dn.html/BI/19619/KBID/12129/DFF/d10-v21-t1-x1050655/SID/EZ" TargetMode="External"/><Relationship Id="rId44" Type="http://schemas.openxmlformats.org/officeDocument/2006/relationships/hyperlink" Target="https://phillipreeve.net/blog/sony-gm-100-400-f-4-5-5-6/" TargetMode="External"/><Relationship Id="rId45" Type="http://schemas.openxmlformats.org/officeDocument/2006/relationships/hyperlink" Target="https://phillipreeve.net/blog/zeiss-batis-apo-sonnar-t-135mm-f2-8/" TargetMode="External"/><Relationship Id="rId46" Type="http://schemas.openxmlformats.org/officeDocument/2006/relationships/hyperlink" Target="https://amzn.to/3iQmhOg" TargetMode="External"/><Relationship Id="rId47"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hyperlink" Target="http://amazon.com/" TargetMode="External"/><Relationship Id="rId2" Type="http://schemas.openxmlformats.org/officeDocument/2006/relationships/hyperlink" Target="http://amazon.de/" TargetMode="External"/><Relationship Id="rId3" Type="http://schemas.openxmlformats.org/officeDocument/2006/relationships/hyperlink" Target="http://ebay.com/" TargetMode="External"/><Relationship Id="rId4"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hyperlink" Target="http://ebay.com/" TargetMode="External"/><Relationship Id="rId2"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1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168" activePane="bottomRight" state="frozen"/>
      <selection pane="topLeft" activeCell="A1" activeCellId="0" sqref="A1"/>
      <selection pane="topRight" activeCell="B1" activeCellId="0" sqref="B1"/>
      <selection pane="bottomLeft" activeCell="A168" activeCellId="0" sqref="A168"/>
      <selection pane="bottomRight" activeCell="C128" activeCellId="0" sqref="C128"/>
    </sheetView>
  </sheetViews>
  <sheetFormatPr defaultColWidth="12.6328125" defaultRowHeight="15.75" zeroHeight="false" outlineLevelRow="0" outlineLevelCol="0"/>
  <cols>
    <col collapsed="false" customWidth="true" hidden="false" outlineLevel="0" max="1" min="1" style="0" width="25.51"/>
    <col collapsed="false" customWidth="true" hidden="false" outlineLevel="0" max="2" min="2" style="0" width="5.75"/>
    <col collapsed="false" customWidth="true" hidden="false" outlineLevel="0" max="3" min="3" style="0" width="7.12"/>
    <col collapsed="false" customWidth="true" hidden="false" outlineLevel="0" max="4" min="4" style="0" width="7"/>
    <col collapsed="false" customWidth="true" hidden="false" outlineLevel="0" max="6" min="5" style="0" width="6.38"/>
    <col collapsed="false" customWidth="true" hidden="false" outlineLevel="0" max="7" min="7" style="0" width="3.5"/>
    <col collapsed="false" customWidth="true" hidden="false" outlineLevel="0" max="8" min="8" style="0" width="6.25"/>
    <col collapsed="false" customWidth="true" hidden="false" outlineLevel="0" max="9" min="9" style="0" width="3.88"/>
    <col collapsed="false" customWidth="true" hidden="false" outlineLevel="0" max="10" min="10" style="0" width="6.63"/>
    <col collapsed="false" customWidth="true" hidden="false" outlineLevel="0" max="11" min="11" style="0" width="4.75"/>
    <col collapsed="false" customWidth="true" hidden="false" outlineLevel="0" max="12" min="12" style="0" width="4.38"/>
    <col collapsed="false" customWidth="true" hidden="false" outlineLevel="0" max="13" min="13" style="0" width="5.38"/>
    <col collapsed="false" customWidth="true" hidden="false" outlineLevel="0" max="14" min="14" style="0" width="11.63"/>
    <col collapsed="false" customWidth="true" hidden="false" outlineLevel="0" max="15" min="15" style="0" width="6.51"/>
    <col collapsed="false" customWidth="true" hidden="false" outlineLevel="0" max="17" min="16" style="0" width="6.75"/>
    <col collapsed="false" customWidth="true" hidden="false" outlineLevel="0" max="21" min="18" style="0" width="3.5"/>
  </cols>
  <sheetData>
    <row r="1" customFormat="false" ht="76.5" hidden="false" customHeight="true" outlineLevel="0" collapsed="false">
      <c r="A1" s="1" t="s">
        <v>0</v>
      </c>
      <c r="B1" s="2" t="s">
        <v>1</v>
      </c>
      <c r="C1" s="3" t="s">
        <v>2</v>
      </c>
      <c r="D1" s="4" t="s">
        <v>3</v>
      </c>
      <c r="E1" s="5" t="s">
        <v>4</v>
      </c>
      <c r="F1" s="6" t="s">
        <v>5</v>
      </c>
      <c r="G1" s="7" t="s">
        <v>6</v>
      </c>
      <c r="H1" s="8" t="s">
        <v>7</v>
      </c>
      <c r="I1" s="3" t="s">
        <v>8</v>
      </c>
      <c r="J1" s="9" t="s">
        <v>9</v>
      </c>
      <c r="K1" s="10" t="s">
        <v>10</v>
      </c>
      <c r="L1" s="3" t="s">
        <v>11</v>
      </c>
      <c r="M1" s="11" t="s">
        <v>12</v>
      </c>
      <c r="N1" s="12" t="s">
        <v>13</v>
      </c>
      <c r="O1" s="13" t="s">
        <v>14</v>
      </c>
      <c r="P1" s="14" t="s">
        <v>15</v>
      </c>
      <c r="Q1" s="15" t="s">
        <v>16</v>
      </c>
      <c r="R1" s="16" t="s">
        <v>17</v>
      </c>
      <c r="S1" s="17" t="s">
        <v>18</v>
      </c>
      <c r="T1" s="16" t="s">
        <v>19</v>
      </c>
      <c r="U1" s="18" t="s">
        <v>20</v>
      </c>
      <c r="V1" s="19" t="s">
        <v>21</v>
      </c>
    </row>
    <row r="2" customFormat="false" ht="18" hidden="false" customHeight="true" outlineLevel="0" collapsed="false">
      <c r="A2" s="20" t="s">
        <v>22</v>
      </c>
      <c r="B2" s="21"/>
      <c r="C2" s="21"/>
      <c r="D2" s="21"/>
      <c r="E2" s="21"/>
      <c r="F2" s="21"/>
      <c r="G2" s="21"/>
      <c r="H2" s="22"/>
      <c r="I2" s="21"/>
      <c r="J2" s="21"/>
      <c r="K2" s="21"/>
      <c r="L2" s="21"/>
      <c r="M2" s="21"/>
      <c r="N2" s="23"/>
      <c r="O2" s="21"/>
      <c r="P2" s="21"/>
      <c r="Q2" s="21"/>
      <c r="R2" s="21"/>
      <c r="S2" s="21"/>
      <c r="T2" s="21"/>
      <c r="U2" s="21"/>
    </row>
    <row r="3" customFormat="false" ht="15.75" hidden="false" customHeight="false" outlineLevel="0" collapsed="false">
      <c r="A3" s="24" t="str">
        <f aca="false">HYPERLINK("https://phillipreeve.net/blog/review-voigtlander-10mm-5-6-e-hyper-wide-heliar/","Voigtlander 10mm F5.6 Hyper Wide ")</f>
        <v>Voigtlander 10mm F5.6 Hyper Wide </v>
      </c>
      <c r="B3" s="25" t="n">
        <v>375</v>
      </c>
      <c r="C3" s="26" t="n">
        <v>10</v>
      </c>
      <c r="D3" s="27" t="n">
        <v>5.6</v>
      </c>
      <c r="E3" s="28" t="n">
        <v>67</v>
      </c>
      <c r="F3" s="29" t="s">
        <v>23</v>
      </c>
      <c r="G3" s="30" t="s">
        <v>24</v>
      </c>
      <c r="H3" s="31" t="s">
        <v>25</v>
      </c>
      <c r="I3" s="32" t="n">
        <v>0.067</v>
      </c>
      <c r="J3" s="33" t="n">
        <v>30</v>
      </c>
      <c r="K3" s="30" t="s">
        <v>26</v>
      </c>
      <c r="L3" s="32" t="n">
        <v>10</v>
      </c>
      <c r="M3" s="34" t="s">
        <v>27</v>
      </c>
      <c r="N3" s="32" t="s">
        <v>28</v>
      </c>
      <c r="O3" s="35" t="n">
        <v>42552</v>
      </c>
      <c r="P3" s="36" t="n">
        <v>1099</v>
      </c>
      <c r="Q3" s="36" t="n">
        <v>750</v>
      </c>
      <c r="R3" s="37" t="str">
        <f aca="false">HYPERLINK("https://amzn.to/2jJ8WxH","link*")</f>
        <v>link*</v>
      </c>
      <c r="S3" s="37" t="str">
        <f aca="false">HYPERLINK("https://www.bhphotovideo.com/c/product/1219550-REG/voigtlander_ba334b_heliar_hyper_wide_10mm_f_5_6.html/BI/19619/KBID/12129/DFF/d10-v21-t1-x732282/SID/EZ","link*")</f>
        <v>link*</v>
      </c>
      <c r="T3" s="37" t="str">
        <f aca="false">HYPERLINK("https://amzn.to/2jG72hr","link*")</f>
        <v>link*</v>
      </c>
      <c r="U3" s="37"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3" s="38"/>
    </row>
    <row r="4" customFormat="false" ht="15.75" hidden="false" customHeight="false" outlineLevel="0" collapsed="false">
      <c r="A4" s="39" t="s">
        <v>29</v>
      </c>
      <c r="B4" s="40" t="n">
        <v>565</v>
      </c>
      <c r="C4" s="41" t="n">
        <v>12</v>
      </c>
      <c r="D4" s="42" t="n">
        <v>4</v>
      </c>
      <c r="E4" s="43" t="n">
        <v>87</v>
      </c>
      <c r="F4" s="44" t="n">
        <v>117</v>
      </c>
      <c r="G4" s="45" t="s">
        <v>30</v>
      </c>
      <c r="H4" s="46" t="s">
        <v>25</v>
      </c>
      <c r="I4" s="47" t="n">
        <v>0.14</v>
      </c>
      <c r="J4" s="48" t="n">
        <v>24</v>
      </c>
      <c r="K4" s="45" t="s">
        <v>26</v>
      </c>
      <c r="L4" s="47" t="n">
        <v>7</v>
      </c>
      <c r="M4" s="49" t="s">
        <v>31</v>
      </c>
      <c r="N4" s="47" t="s">
        <v>32</v>
      </c>
      <c r="O4" s="50" t="n">
        <v>42856</v>
      </c>
      <c r="P4" s="51" t="n">
        <v>1699</v>
      </c>
      <c r="Q4" s="51" t="n">
        <v>1125</v>
      </c>
      <c r="R4" s="52" t="str">
        <f aca="false">HYPERLINK("https://amzn.to/2SSzKc4","link*")</f>
        <v>link*</v>
      </c>
      <c r="S4" s="52" t="str">
        <f aca="false">HYPERLINK("https://www.bhphotovideo.com/c/product/1338517-REG/sony_sel1224g_fe_12_24mm_f_4_g.html/BI/19619/KBID/12129/DFF/d10-v21-t1-x822838/SID/EZ","link*")</f>
        <v>link*</v>
      </c>
      <c r="T4" s="52" t="str">
        <f aca="false">HYPERLINK("https://amzn.to/2Kg94zb","link*")</f>
        <v>link*</v>
      </c>
      <c r="U4" s="53" t="s">
        <v>33</v>
      </c>
    </row>
    <row r="5" customFormat="false" ht="15.75" hidden="false" customHeight="false" outlineLevel="0" collapsed="false">
      <c r="A5" s="54" t="s">
        <v>34</v>
      </c>
      <c r="B5" s="55" t="n">
        <v>847</v>
      </c>
      <c r="C5" s="56" t="n">
        <v>12</v>
      </c>
      <c r="D5" s="57" t="n">
        <v>2.8</v>
      </c>
      <c r="E5" s="58" t="n">
        <v>97.6</v>
      </c>
      <c r="F5" s="59" t="n">
        <v>137</v>
      </c>
      <c r="G5" s="60" t="s">
        <v>30</v>
      </c>
      <c r="H5" s="61" t="s">
        <v>25</v>
      </c>
      <c r="I5" s="62" t="n">
        <v>0.14</v>
      </c>
      <c r="J5" s="63" t="n">
        <v>28</v>
      </c>
      <c r="K5" s="60" t="s">
        <v>26</v>
      </c>
      <c r="L5" s="62" t="n">
        <v>9</v>
      </c>
      <c r="M5" s="64" t="s">
        <v>35</v>
      </c>
      <c r="N5" s="62" t="s">
        <v>32</v>
      </c>
      <c r="O5" s="65" t="n">
        <v>44056</v>
      </c>
      <c r="P5" s="66" t="n">
        <v>2999</v>
      </c>
      <c r="Q5" s="66" t="s">
        <v>36</v>
      </c>
      <c r="R5" s="67"/>
      <c r="S5" s="68" t="s">
        <v>33</v>
      </c>
      <c r="T5" s="67"/>
      <c r="U5" s="53" t="s">
        <v>33</v>
      </c>
      <c r="V5" s="69" t="s">
        <v>37</v>
      </c>
    </row>
    <row r="6" customFormat="false" ht="15.75" hidden="false" customHeight="false" outlineLevel="0" collapsed="false">
      <c r="A6" s="24" t="str">
        <f aca="false">HYPERLINK("https://phillipreeve.net/blog/review-voigtlander-12mm-5-6-aspherical-ultra-wide-heliar/","Voigtlander 12mm F5.6 Ultra Wide-Heliar Aspherical")</f>
        <v>Voigtlander 12mm F5.6 Ultra Wide-Heliar Aspherical</v>
      </c>
      <c r="B6" s="25" t="n">
        <v>350</v>
      </c>
      <c r="C6" s="26" t="n">
        <v>12</v>
      </c>
      <c r="D6" s="27" t="n">
        <v>5.6</v>
      </c>
      <c r="E6" s="70" t="n">
        <v>67</v>
      </c>
      <c r="F6" s="29" t="n">
        <v>68</v>
      </c>
      <c r="G6" s="30" t="s">
        <v>24</v>
      </c>
      <c r="H6" s="31" t="s">
        <v>25</v>
      </c>
      <c r="I6" s="32"/>
      <c r="J6" s="33" t="n">
        <v>30</v>
      </c>
      <c r="K6" s="30" t="s">
        <v>26</v>
      </c>
      <c r="L6" s="32" t="n">
        <v>10</v>
      </c>
      <c r="M6" s="34" t="s">
        <v>38</v>
      </c>
      <c r="N6" s="32" t="s">
        <v>28</v>
      </c>
      <c r="O6" s="35" t="n">
        <v>42583</v>
      </c>
      <c r="P6" s="36" t="n">
        <v>749</v>
      </c>
      <c r="Q6" s="36" t="s">
        <v>36</v>
      </c>
      <c r="R6" s="71"/>
      <c r="S6" s="71"/>
      <c r="T6" s="71"/>
      <c r="U6" s="37"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6" s="38" t="s">
        <v>39</v>
      </c>
    </row>
    <row r="7" customFormat="false" ht="15.75" hidden="false" customHeight="false" outlineLevel="0" collapsed="false">
      <c r="A7" s="54" t="s">
        <v>40</v>
      </c>
      <c r="B7" s="55" t="n">
        <v>460</v>
      </c>
      <c r="C7" s="56" t="s">
        <v>41</v>
      </c>
      <c r="D7" s="72" t="n">
        <v>1.8</v>
      </c>
      <c r="E7" s="73" t="n">
        <v>83</v>
      </c>
      <c r="F7" s="74" t="n">
        <v>99.8</v>
      </c>
      <c r="G7" s="62" t="s">
        <v>30</v>
      </c>
      <c r="H7" s="61" t="s">
        <v>25</v>
      </c>
      <c r="I7" s="62" t="n">
        <v>0.1</v>
      </c>
      <c r="J7" s="63" t="n">
        <v>25</v>
      </c>
      <c r="K7" s="60" t="s">
        <v>26</v>
      </c>
      <c r="L7" s="62" t="n">
        <v>9</v>
      </c>
      <c r="M7" s="75" t="n">
        <v>44514</v>
      </c>
      <c r="N7" s="62" t="s">
        <v>32</v>
      </c>
      <c r="O7" s="65" t="n">
        <v>44317</v>
      </c>
      <c r="P7" s="66" t="n">
        <v>1599</v>
      </c>
      <c r="Q7" s="66" t="s">
        <v>36</v>
      </c>
      <c r="R7" s="67"/>
      <c r="S7" s="67"/>
      <c r="T7" s="67"/>
      <c r="U7" s="67"/>
    </row>
    <row r="8" customFormat="false" ht="15.75" hidden="false" customHeight="false" outlineLevel="0" collapsed="false">
      <c r="A8" s="39" t="s">
        <v>42</v>
      </c>
      <c r="B8" s="40" t="n">
        <v>1220</v>
      </c>
      <c r="C8" s="41" t="n">
        <v>14</v>
      </c>
      <c r="D8" s="76" t="n">
        <v>1.8</v>
      </c>
      <c r="E8" s="77" t="n">
        <v>95</v>
      </c>
      <c r="F8" s="78" t="n">
        <v>152</v>
      </c>
      <c r="G8" s="47" t="s">
        <v>30</v>
      </c>
      <c r="H8" s="46" t="s">
        <v>25</v>
      </c>
      <c r="I8" s="47" t="n">
        <v>0.1</v>
      </c>
      <c r="J8" s="48" t="n">
        <v>27</v>
      </c>
      <c r="K8" s="45" t="s">
        <v>26</v>
      </c>
      <c r="L8" s="47" t="n">
        <v>9</v>
      </c>
      <c r="M8" s="79" t="n">
        <v>43785</v>
      </c>
      <c r="N8" s="47" t="s">
        <v>43</v>
      </c>
      <c r="O8" s="50" t="n">
        <v>43221</v>
      </c>
      <c r="P8" s="51" t="n">
        <v>1599</v>
      </c>
      <c r="Q8" s="51" t="n">
        <v>950</v>
      </c>
      <c r="R8" s="52" t="str">
        <f aca="false">HYPERLINK("https://amzn.to/2SOWTvV","link*")</f>
        <v>link*</v>
      </c>
      <c r="S8" s="52" t="str">
        <f aca="false">HYPERLINK("https://www.bhphotovideo.com/c/product/1393489-REG/sigma_14mm_f_1_8_dg_hsm.html/BI/19619/KBID/12129/DFF/d10-v21-t1-x881154/SID/EZ","link*")</f>
        <v>link*</v>
      </c>
      <c r="T8" s="52" t="str">
        <f aca="false">HYPERLINK("https://amzn.to/2ZDl4QJ","link*")</f>
        <v>link*</v>
      </c>
      <c r="U8" s="52"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9" customFormat="false" ht="15.75" hidden="false" customHeight="false" outlineLevel="0" collapsed="false">
      <c r="A9" s="80" t="s">
        <v>44</v>
      </c>
      <c r="B9" s="81" t="n">
        <v>795</v>
      </c>
      <c r="C9" s="82" t="n">
        <v>14</v>
      </c>
      <c r="D9" s="83" t="n">
        <v>2.8</v>
      </c>
      <c r="E9" s="84" t="n">
        <v>85</v>
      </c>
      <c r="F9" s="85" t="n">
        <v>131</v>
      </c>
      <c r="G9" s="86" t="s">
        <v>30</v>
      </c>
      <c r="H9" s="87" t="s">
        <v>25</v>
      </c>
      <c r="I9" s="86" t="n">
        <v>0.14</v>
      </c>
      <c r="J9" s="88" t="n">
        <v>28</v>
      </c>
      <c r="K9" s="89" t="s">
        <v>26</v>
      </c>
      <c r="L9" s="86" t="n">
        <v>11</v>
      </c>
      <c r="M9" s="90" t="s">
        <v>45</v>
      </c>
      <c r="N9" s="86" t="s">
        <v>43</v>
      </c>
      <c r="O9" s="91" t="n">
        <v>43693</v>
      </c>
      <c r="P9" s="92" t="n">
        <v>1399</v>
      </c>
      <c r="Q9" s="92" t="n">
        <v>1100</v>
      </c>
      <c r="R9" s="93" t="str">
        <f aca="false">HYPERLINK("https://amzn.to/2zt8rMC","link*")</f>
        <v>link*</v>
      </c>
      <c r="S9" s="93" t="str">
        <f aca="false">HYPERLINK("https://www.bhphotovideo.com/c/product/1492972-REG/sigma_213965_14_24mm_f_2_8_dg_dn.html/BI/19619/KBID/12129/DFF/d10-v21-t1-x976041/SID/EZ","link*")</f>
        <v>link*</v>
      </c>
      <c r="T9" s="94" t="s">
        <v>33</v>
      </c>
      <c r="U9" s="93"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9" s="69" t="s">
        <v>37</v>
      </c>
    </row>
    <row r="10" customFormat="false" ht="15.75" hidden="false" customHeight="false" outlineLevel="0" collapsed="false">
      <c r="A10" s="95" t="s">
        <v>46</v>
      </c>
      <c r="B10" s="25" t="n">
        <v>505</v>
      </c>
      <c r="C10" s="26" t="n">
        <v>14</v>
      </c>
      <c r="D10" s="27" t="n">
        <v>2.8</v>
      </c>
      <c r="E10" s="96" t="n">
        <v>86</v>
      </c>
      <c r="F10" s="97" t="n">
        <v>98</v>
      </c>
      <c r="G10" s="32" t="s">
        <v>30</v>
      </c>
      <c r="H10" s="31" t="s">
        <v>25</v>
      </c>
      <c r="I10" s="32" t="n">
        <v>0.12</v>
      </c>
      <c r="J10" s="33" t="n">
        <v>20</v>
      </c>
      <c r="K10" s="30" t="s">
        <v>26</v>
      </c>
      <c r="L10" s="32" t="n">
        <v>7</v>
      </c>
      <c r="M10" s="98" t="n">
        <v>43752</v>
      </c>
      <c r="N10" s="32" t="s">
        <v>47</v>
      </c>
      <c r="O10" s="35" t="n">
        <v>43221</v>
      </c>
      <c r="P10" s="36" t="n">
        <v>799</v>
      </c>
      <c r="Q10" s="36" t="n">
        <v>350</v>
      </c>
      <c r="R10" s="37" t="str">
        <f aca="false">HYPERLINK("https://amzn.to/2SX2HUi","link*")</f>
        <v>link*</v>
      </c>
      <c r="S10" s="37" t="str">
        <f aca="false">HYPERLINK("https://www.bhphotovideo.com/c/product/1352863-REG/samyang_syio14af_e_14mm_f_2_8_f_f_wide.html/BI/19619/KBID/12129/DFF/d10-v21-t1-x837928/SID/EZ","link*")</f>
        <v>link*</v>
      </c>
      <c r="T10" s="37" t="str">
        <f aca="false">HYPERLINK("https://amzn.to/31hwSIL","link*")</f>
        <v>link*</v>
      </c>
      <c r="U10" s="37"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0" s="38"/>
    </row>
    <row r="11" customFormat="false" ht="15.75" hidden="false" customHeight="false" outlineLevel="0" collapsed="false">
      <c r="A11" s="99" t="str">
        <f aca="false">HYPERLINK("https://phillipreeve.net/blog/review-voigtlander-15mm-4-5-e-super-wide-heliar/","Voigtlander 15mm F4.5 Super Wide Heliar")</f>
        <v>Voigtlander 15mm F4.5 Super Wide Heliar</v>
      </c>
      <c r="B11" s="100" t="n">
        <v>298</v>
      </c>
      <c r="C11" s="101" t="n">
        <v>15</v>
      </c>
      <c r="D11" s="102" t="n">
        <v>4.5</v>
      </c>
      <c r="E11" s="103" t="n">
        <v>67</v>
      </c>
      <c r="F11" s="104" t="n">
        <v>62</v>
      </c>
      <c r="G11" s="105" t="s">
        <v>24</v>
      </c>
      <c r="H11" s="106" t="s">
        <v>48</v>
      </c>
      <c r="I11" s="107" t="n">
        <v>0.083</v>
      </c>
      <c r="J11" s="108" t="n">
        <v>30</v>
      </c>
      <c r="K11" s="105" t="s">
        <v>26</v>
      </c>
      <c r="L11" s="107" t="n">
        <v>10</v>
      </c>
      <c r="M11" s="109" t="s">
        <v>38</v>
      </c>
      <c r="N11" s="107" t="s">
        <v>28</v>
      </c>
      <c r="O11" s="110" t="n">
        <v>42401</v>
      </c>
      <c r="P11" s="111" t="n">
        <v>799</v>
      </c>
      <c r="Q11" s="111" t="n">
        <v>500</v>
      </c>
      <c r="R11" s="112" t="str">
        <f aca="false">HYPERLINK("https://amzn.to/2YwplrQ","link*")</f>
        <v>link*</v>
      </c>
      <c r="S11" s="112" t="str">
        <f aca="false">HYPERLINK("https://www.bhphotovideo.com/c/product/1219549-REG/voigtlander_ba329b_super_wide_heliar_15mm_f_4_5.html/BI/19619/KBID/12129/DFF/d10-v21-t1-x618202/SID/EZ","link*")</f>
        <v>link*</v>
      </c>
      <c r="T11" s="112" t="str">
        <f aca="false">HYPERLINK("https://amzn.to/2ZpTKt5","link*")</f>
        <v>link*</v>
      </c>
      <c r="U11" s="112"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1" s="38"/>
    </row>
    <row r="12" customFormat="false" ht="15.75" hidden="false" customHeight="false" outlineLevel="0" collapsed="false">
      <c r="A12" s="113" t="str">
        <f aca="false">HYPERLINK("https://phillipreeve.net/blog/sony-fe-16-35mm-f4-za-t-review/","Sony ZA 4/16-35 OSS ")</f>
        <v>Sony ZA 4/16-35 OSS </v>
      </c>
      <c r="B12" s="40" t="n">
        <v>523</v>
      </c>
      <c r="C12" s="41" t="n">
        <v>16</v>
      </c>
      <c r="D12" s="42" t="n">
        <v>4</v>
      </c>
      <c r="E12" s="43" t="n">
        <v>78</v>
      </c>
      <c r="F12" s="44" t="n">
        <v>98</v>
      </c>
      <c r="G12" s="45" t="s">
        <v>30</v>
      </c>
      <c r="H12" s="46" t="s">
        <v>49</v>
      </c>
      <c r="I12" s="47" t="n">
        <v>0.19</v>
      </c>
      <c r="J12" s="48" t="n">
        <v>28</v>
      </c>
      <c r="K12" s="114" t="s">
        <v>50</v>
      </c>
      <c r="L12" s="47" t="n">
        <v>7</v>
      </c>
      <c r="M12" s="49" t="s">
        <v>38</v>
      </c>
      <c r="N12" s="47" t="s">
        <v>32</v>
      </c>
      <c r="O12" s="50" t="n">
        <v>41883</v>
      </c>
      <c r="P12" s="51" t="n">
        <v>1349</v>
      </c>
      <c r="Q12" s="51" t="n">
        <v>750</v>
      </c>
      <c r="R12" s="52" t="str">
        <f aca="false">HYPERLINK("http://amzn.to/2v2sY7q","link*")</f>
        <v>link*</v>
      </c>
      <c r="S12" s="52" t="str">
        <f aca="false">HYPERLINK("https://www.bhphotovideo.com/c/product/1380866-REG/sony_16_35mm_f_4_vario_tsr.html/BI/19619/KBID/12129/kw/SO16354F/DFF/d10-v2-t1-xSO16354F","link*")</f>
        <v>link*</v>
      </c>
      <c r="T12" s="52" t="str">
        <f aca="false">HYPERLINK("http://amzn.to/2wyMLuP","link*")</f>
        <v>link*</v>
      </c>
      <c r="U12" s="52"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3" customFormat="false" ht="15.75" hidden="false" customHeight="false" outlineLevel="0" collapsed="false">
      <c r="A13" s="95" t="s">
        <v>51</v>
      </c>
      <c r="B13" s="25" t="n">
        <v>680</v>
      </c>
      <c r="C13" s="26" t="n">
        <v>16</v>
      </c>
      <c r="D13" s="27" t="n">
        <v>2.8</v>
      </c>
      <c r="E13" s="96" t="n">
        <v>89</v>
      </c>
      <c r="F13" s="97" t="n">
        <v>122</v>
      </c>
      <c r="G13" s="30" t="s">
        <v>30</v>
      </c>
      <c r="H13" s="31" t="s">
        <v>52</v>
      </c>
      <c r="I13" s="32" t="n">
        <v>0.19</v>
      </c>
      <c r="J13" s="33" t="n">
        <v>28</v>
      </c>
      <c r="K13" s="30" t="s">
        <v>26</v>
      </c>
      <c r="L13" s="32" t="n">
        <v>11</v>
      </c>
      <c r="M13" s="34" t="s">
        <v>53</v>
      </c>
      <c r="N13" s="32" t="s">
        <v>32</v>
      </c>
      <c r="O13" s="35" t="n">
        <v>42856</v>
      </c>
      <c r="P13" s="36" t="n">
        <v>2199</v>
      </c>
      <c r="Q13" s="36" t="n">
        <v>1650</v>
      </c>
      <c r="R13" s="37" t="str">
        <f aca="false">HYPERLINK("https://amzn.to/2SR0IRl","link*")</f>
        <v>link*</v>
      </c>
      <c r="S13" s="37" t="str">
        <f aca="false">HYPERLINK("https://www.bhphotovideo.com/c/product/1338516-REG/sony_sel1635gm_fe_16_35mm_f_2_8_gm.html/BI/19619/KBID/12129/DFF/d10-v21-t1-x822837/SID/EZ","link*")</f>
        <v>link*</v>
      </c>
      <c r="T13" s="37" t="str">
        <f aca="false">HYPERLINK("https://amzn.to/2T1ZxOU","link*")</f>
        <v>link*</v>
      </c>
      <c r="U13" s="37"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3" s="38"/>
    </row>
    <row r="14" customFormat="false" ht="15.75" hidden="false" customHeight="false" outlineLevel="0" collapsed="false">
      <c r="A14" s="99" t="str">
        <f aca="false">HYPERLINK("https://phillipreeve.net/blog/review-tamron-17-28mm-f-2-8-di-iii-rxd/","Tamron 17-28mm f/2.8 Di III RXD")</f>
        <v>Tamron 17-28mm f/2.8 Di III RXD</v>
      </c>
      <c r="B14" s="100" t="n">
        <v>420</v>
      </c>
      <c r="C14" s="101" t="n">
        <v>17</v>
      </c>
      <c r="D14" s="102" t="n">
        <v>2.8</v>
      </c>
      <c r="E14" s="115" t="n">
        <v>73</v>
      </c>
      <c r="F14" s="116" t="n">
        <v>99</v>
      </c>
      <c r="G14" s="105" t="s">
        <v>30</v>
      </c>
      <c r="H14" s="106" t="s">
        <v>54</v>
      </c>
      <c r="I14" s="107" t="n">
        <v>0.19</v>
      </c>
      <c r="J14" s="108" t="n">
        <v>19</v>
      </c>
      <c r="K14" s="105" t="s">
        <v>26</v>
      </c>
      <c r="L14" s="107" t="n">
        <v>9</v>
      </c>
      <c r="M14" s="109" t="s">
        <v>55</v>
      </c>
      <c r="N14" s="107" t="s">
        <v>56</v>
      </c>
      <c r="O14" s="110" t="n">
        <v>43647</v>
      </c>
      <c r="P14" s="117" t="n">
        <v>899</v>
      </c>
      <c r="Q14" s="111" t="n">
        <v>740</v>
      </c>
      <c r="R14" s="112" t="str">
        <f aca="false">HYPERLINK("https://amzn.to/2Hv3AyB","link*")</f>
        <v>link*</v>
      </c>
      <c r="S14" s="112" t="str">
        <f aca="false">HYPERLINK("https://www.bhphotovideo.com/c/product/1461529-REG/tamron_a046_17_28mm_f_2_8_di_iii.html/BI/19619/KBID/12129/DFF/d10-v21-t1-x946694/SID/EZ","link*")</f>
        <v>link*</v>
      </c>
      <c r="T14" s="112" t="str">
        <f aca="false">HYPERLINK("https://amzn.to/2YkrkQB","link*")</f>
        <v>link*</v>
      </c>
      <c r="U14" s="112"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4" s="38"/>
      <c r="W14" s="69"/>
    </row>
    <row r="15" customFormat="false" ht="15.75" hidden="false" customHeight="false" outlineLevel="0" collapsed="false">
      <c r="A15" s="113" t="str">
        <f aca="false">HYPERLINK("https://phillipreeve.net/blog/review-zeiss-batis-18mm-2-8/","Zeiss Batis 2.8/18")</f>
        <v>Zeiss Batis 2.8/18</v>
      </c>
      <c r="B15" s="40" t="n">
        <v>330</v>
      </c>
      <c r="C15" s="41" t="n">
        <v>18</v>
      </c>
      <c r="D15" s="42" t="n">
        <v>2.8</v>
      </c>
      <c r="E15" s="43" t="n">
        <v>100</v>
      </c>
      <c r="F15" s="44" t="n">
        <v>80</v>
      </c>
      <c r="G15" s="45" t="s">
        <v>30</v>
      </c>
      <c r="H15" s="46" t="s">
        <v>57</v>
      </c>
      <c r="I15" s="47" t="n">
        <v>0.1</v>
      </c>
      <c r="J15" s="48" t="n">
        <v>25</v>
      </c>
      <c r="K15" s="45" t="s">
        <v>26</v>
      </c>
      <c r="L15" s="47" t="n">
        <v>9</v>
      </c>
      <c r="M15" s="49" t="s">
        <v>58</v>
      </c>
      <c r="N15" s="47" t="s">
        <v>59</v>
      </c>
      <c r="O15" s="50" t="n">
        <v>42491</v>
      </c>
      <c r="P15" s="51" t="n">
        <v>1499</v>
      </c>
      <c r="Q15" s="51" t="n">
        <v>750</v>
      </c>
      <c r="R15" s="52" t="str">
        <f aca="false">HYPERLINK("https://amzn.to/2SRFBhL","link*")</f>
        <v>link*</v>
      </c>
      <c r="S15" s="52" t="str">
        <f aca="false">HYPERLINK("https://www.bhphotovideo.com/c/product/1243591-REG/zeiss_2136_691_batis_18mm_f_2_8_lens.html/BI/19619/KBID/12129/DFF/d10-v21-t1-x727488/SID/EZ","link*")</f>
        <v>link*</v>
      </c>
      <c r="T15" s="52" t="str">
        <f aca="false">HYPERLINK("https://amzn.to/334PqNT","link*")</f>
        <v>link*</v>
      </c>
      <c r="U15" s="52"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6" customFormat="false" ht="15.75" hidden="false" customHeight="false" outlineLevel="0" collapsed="false">
      <c r="A16" s="95" t="s">
        <v>60</v>
      </c>
      <c r="B16" s="25" t="n">
        <v>145</v>
      </c>
      <c r="C16" s="26" t="n">
        <v>18</v>
      </c>
      <c r="D16" s="27" t="n">
        <v>2.8</v>
      </c>
      <c r="E16" s="96" t="n">
        <v>63.5</v>
      </c>
      <c r="F16" s="97" t="n">
        <v>60.5</v>
      </c>
      <c r="G16" s="30" t="s">
        <v>30</v>
      </c>
      <c r="H16" s="31" t="s">
        <v>48</v>
      </c>
      <c r="I16" s="32" t="n">
        <v>0.09</v>
      </c>
      <c r="J16" s="33" t="n">
        <v>25</v>
      </c>
      <c r="K16" s="30" t="s">
        <v>26</v>
      </c>
      <c r="L16" s="32" t="n">
        <v>7</v>
      </c>
      <c r="M16" s="34" t="s">
        <v>61</v>
      </c>
      <c r="N16" s="32" t="s">
        <v>47</v>
      </c>
      <c r="O16" s="35" t="n">
        <v>43723</v>
      </c>
      <c r="P16" s="36" t="n">
        <v>399</v>
      </c>
      <c r="Q16" s="36" t="n">
        <v>240</v>
      </c>
      <c r="R16" s="118" t="s">
        <v>33</v>
      </c>
      <c r="S16" s="37" t="str">
        <f aca="false">HYPERLINK("https://www.bhphotovideo.com/c/product/1503295-REG/samyang_syio18af_e_af_18mm_f_2_8_fe.html/BI/19619/KBID/12129/DFF/d10-v21-t1-x985623/SID/EZ","link*")</f>
        <v>link*</v>
      </c>
      <c r="T16" s="71"/>
      <c r="U16" s="52"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6" s="38"/>
    </row>
    <row r="17" customFormat="false" ht="15.75" hidden="false" customHeight="true" outlineLevel="0" collapsed="false">
      <c r="A17" s="39" t="s">
        <v>62</v>
      </c>
      <c r="B17" s="40" t="n">
        <v>1050</v>
      </c>
      <c r="C17" s="41" t="n">
        <v>20</v>
      </c>
      <c r="D17" s="119" t="n">
        <v>1.4</v>
      </c>
      <c r="E17" s="43" t="n">
        <v>91</v>
      </c>
      <c r="F17" s="44" t="n">
        <v>155.8</v>
      </c>
      <c r="G17" s="47" t="s">
        <v>30</v>
      </c>
      <c r="H17" s="46" t="s">
        <v>25</v>
      </c>
      <c r="I17" s="47" t="n">
        <v>0.14</v>
      </c>
      <c r="J17" s="48" t="n">
        <v>28</v>
      </c>
      <c r="K17" s="45" t="s">
        <v>26</v>
      </c>
      <c r="L17" s="47" t="n">
        <v>9</v>
      </c>
      <c r="M17" s="79" t="n">
        <v>43784</v>
      </c>
      <c r="N17" s="47" t="s">
        <v>43</v>
      </c>
      <c r="O17" s="50" t="n">
        <v>43221</v>
      </c>
      <c r="P17" s="51" t="n">
        <v>899</v>
      </c>
      <c r="Q17" s="51" t="n">
        <v>550</v>
      </c>
      <c r="R17" s="52" t="str">
        <f aca="false">HYPERLINK("https://amzn.to/2K4J7nh","link*")</f>
        <v>link*</v>
      </c>
      <c r="S17" s="52" t="str">
        <f aca="false">HYPERLINK("https://www.bhphotovideo.com/c/product/1393490-REG/sigma_20mm_f_1_4_dg_hsm.html/BI/19619/KBID/12129/DFF/d10-v21-t1-x881155/SID/EZ","link*")</f>
        <v>link*</v>
      </c>
      <c r="T17" s="52" t="str">
        <f aca="false">HYPERLINK("https://amzn.to/2Wy0d3F","link*")</f>
        <v>link*</v>
      </c>
      <c r="U17" s="52"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8" customFormat="false" ht="15.75" hidden="false" customHeight="false" outlineLevel="0" collapsed="false">
      <c r="A18" s="80" t="s">
        <v>63</v>
      </c>
      <c r="B18" s="81" t="n">
        <v>775</v>
      </c>
      <c r="C18" s="82" t="n">
        <v>20</v>
      </c>
      <c r="D18" s="120" t="n">
        <v>1.8</v>
      </c>
      <c r="E18" s="84" t="n">
        <v>77</v>
      </c>
      <c r="F18" s="121" t="n">
        <v>102</v>
      </c>
      <c r="G18" s="86" t="s">
        <v>24</v>
      </c>
      <c r="H18" s="87" t="s">
        <v>52</v>
      </c>
      <c r="I18" s="86" t="n">
        <v>0.12</v>
      </c>
      <c r="J18" s="88" t="n">
        <v>25</v>
      </c>
      <c r="K18" s="89" t="s">
        <v>26</v>
      </c>
      <c r="L18" s="86" t="n">
        <v>14</v>
      </c>
      <c r="M18" s="122" t="n">
        <v>43720</v>
      </c>
      <c r="N18" s="86" t="s">
        <v>64</v>
      </c>
      <c r="O18" s="91" t="n">
        <v>43586</v>
      </c>
      <c r="P18" s="92" t="n">
        <v>486</v>
      </c>
      <c r="Q18" s="92" t="s">
        <v>36</v>
      </c>
      <c r="R18" s="93" t="str">
        <f aca="false">HYPERLINK("https://amzn.to/2LRRbJ5","link*")</f>
        <v>link*</v>
      </c>
      <c r="S18" s="93" t="str">
        <f aca="false">HYPERLINK("https://www.bhphotovideo.com/c/product/1469187-REG/viltrox_pfu_rbmh_20mm_f1_8_asph_e_mount_20mm_f_1_8_for_sony.html/BI/19619/KBID/12129/DFF/d10-v21-t1-x954299/SID/EZ","link*")</f>
        <v>link*</v>
      </c>
      <c r="T18" s="93" t="str">
        <f aca="false">HYPERLINK("https://amzn.to/2GL8iYV","link*")</f>
        <v>link*</v>
      </c>
      <c r="U18" s="93"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9" customFormat="false" ht="15.75" hidden="false" customHeight="false" outlineLevel="0" collapsed="false">
      <c r="A19" s="80" t="s">
        <v>65</v>
      </c>
      <c r="B19" s="81" t="n">
        <v>373</v>
      </c>
      <c r="C19" s="82" t="n">
        <v>20</v>
      </c>
      <c r="D19" s="123" t="n">
        <v>1.8</v>
      </c>
      <c r="E19" s="124" t="n">
        <v>73.5</v>
      </c>
      <c r="F19" s="125" t="n">
        <v>84.7</v>
      </c>
      <c r="G19" s="89" t="s">
        <v>30</v>
      </c>
      <c r="H19" s="87" t="s">
        <v>54</v>
      </c>
      <c r="I19" s="86" t="n">
        <v>0.2</v>
      </c>
      <c r="J19" s="88" t="n">
        <v>18</v>
      </c>
      <c r="K19" s="89" t="s">
        <v>26</v>
      </c>
      <c r="L19" s="86" t="n">
        <v>9</v>
      </c>
      <c r="M19" s="126" t="s">
        <v>66</v>
      </c>
      <c r="N19" s="86" t="s">
        <v>32</v>
      </c>
      <c r="O19" s="91" t="n">
        <v>43891</v>
      </c>
      <c r="P19" s="127" t="n">
        <v>899</v>
      </c>
      <c r="Q19" s="127" t="n">
        <v>800</v>
      </c>
      <c r="R19" s="93" t="str">
        <f aca="false">HYPERLINK("https://amzn.to/2wBkbOW","link*")</f>
        <v>link*</v>
      </c>
      <c r="S19" s="93" t="str">
        <f aca="false">HYPERLINK("https://www.bhphotovideo.com/c/product/1549627-REG/sony_sel20f18g_fe_20mm_f_1_8_g.html/BI/19619/KBID/12129/DFF/d10-v21-t1-x1029561/SID/EZ","link*")</f>
        <v>link*</v>
      </c>
      <c r="T19" s="94"/>
      <c r="U19" s="52"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20" customFormat="false" ht="15.75" hidden="false" customHeight="false" outlineLevel="0" collapsed="false">
      <c r="A20" s="128" t="str">
        <f aca="false">HYPERLINK("https://phillipreeve.net/blog/tokina-firin-20mm-f2-fe-review-a-good-deal/","Tokina Firin 2/20")</f>
        <v>Tokina Firin 2/20</v>
      </c>
      <c r="B20" s="81" t="n">
        <v>492</v>
      </c>
      <c r="C20" s="82" t="n">
        <v>20</v>
      </c>
      <c r="D20" s="123" t="n">
        <v>2</v>
      </c>
      <c r="E20" s="124" t="n">
        <v>69</v>
      </c>
      <c r="F20" s="125" t="n">
        <v>82</v>
      </c>
      <c r="G20" s="89" t="s">
        <v>24</v>
      </c>
      <c r="H20" s="87" t="s">
        <v>67</v>
      </c>
      <c r="I20" s="86" t="n">
        <v>0.1</v>
      </c>
      <c r="J20" s="88" t="n">
        <v>30</v>
      </c>
      <c r="K20" s="89" t="s">
        <v>26</v>
      </c>
      <c r="L20" s="86" t="n">
        <v>9</v>
      </c>
      <c r="M20" s="126" t="s">
        <v>55</v>
      </c>
      <c r="N20" s="86" t="s">
        <v>68</v>
      </c>
      <c r="O20" s="91" t="n">
        <v>42856</v>
      </c>
      <c r="P20" s="127" t="n">
        <v>799</v>
      </c>
      <c r="Q20" s="127" t="n">
        <v>300</v>
      </c>
      <c r="R20" s="93" t="str">
        <f aca="false">HYPERLINK("http://amzn.to/2vlG2Yq","link*")</f>
        <v>link*</v>
      </c>
      <c r="S20" s="93" t="str">
        <f aca="false">HYPERLINK("https://www.bhphotovideo.com/c/product/1281299-REG/tokina_firin_20mm_f_2_fe.html/BI/19619/KBID/12129/kw/TO202E/DFF/d10-v2-t1-xTO202E","link*")</f>
        <v>link*</v>
      </c>
      <c r="T20" s="93" t="str">
        <f aca="false">HYPERLINK("http://amzn.to/2vvtDkM","link*")</f>
        <v>link*</v>
      </c>
      <c r="U20" s="93"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21" customFormat="false" ht="15.75" hidden="false" customHeight="false" outlineLevel="0" collapsed="false">
      <c r="A21" s="95" t="s">
        <v>69</v>
      </c>
      <c r="B21" s="25" t="n">
        <v>464</v>
      </c>
      <c r="C21" s="26" t="n">
        <v>20</v>
      </c>
      <c r="D21" s="129" t="n">
        <v>2</v>
      </c>
      <c r="E21" s="130" t="n">
        <v>73</v>
      </c>
      <c r="F21" s="131" t="n">
        <v>82</v>
      </c>
      <c r="G21" s="30" t="s">
        <v>30</v>
      </c>
      <c r="H21" s="31" t="s">
        <v>67</v>
      </c>
      <c r="I21" s="32" t="n">
        <v>0.1</v>
      </c>
      <c r="J21" s="33" t="n">
        <v>30</v>
      </c>
      <c r="K21" s="30" t="s">
        <v>26</v>
      </c>
      <c r="L21" s="32" t="n">
        <v>9</v>
      </c>
      <c r="M21" s="34" t="s">
        <v>55</v>
      </c>
      <c r="N21" s="32" t="s">
        <v>68</v>
      </c>
      <c r="O21" s="35" t="n">
        <v>43221</v>
      </c>
      <c r="P21" s="36" t="n">
        <v>949</v>
      </c>
      <c r="Q21" s="36" t="n">
        <v>600</v>
      </c>
      <c r="R21" s="37" t="str">
        <f aca="false">HYPERLINK("https://amzn.to/2GDurZb","link*")</f>
        <v>link*</v>
      </c>
      <c r="S21" s="37" t="str">
        <f aca="false">HYPERLINK("https://www.bhphotovideo.com/c/product/1393327-REG/tokina_firin_20mm_f_2_fe.html/BI/19619/KBID/12129/DFF/d10-v21-t1-x880327/SID/EZ","link*")</f>
        <v>link*</v>
      </c>
      <c r="T21" s="37" t="str">
        <f aca="false">HYPERLINK("https://amzn.to/2GJYCxw","link*")</f>
        <v>link*</v>
      </c>
      <c r="U21" s="37"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21" s="38"/>
    </row>
    <row r="22" customFormat="false" ht="15.75" hidden="false" customHeight="false" outlineLevel="0" collapsed="false">
      <c r="A22" s="132" t="s">
        <v>70</v>
      </c>
      <c r="B22" s="81" t="n">
        <v>220</v>
      </c>
      <c r="C22" s="82" t="n">
        <v>20</v>
      </c>
      <c r="D22" s="83" t="n">
        <v>2.8</v>
      </c>
      <c r="E22" s="133" t="n">
        <v>73</v>
      </c>
      <c r="F22" s="134" t="n">
        <v>64</v>
      </c>
      <c r="G22" s="89" t="s">
        <v>30</v>
      </c>
      <c r="H22" s="87" t="s">
        <v>54</v>
      </c>
      <c r="I22" s="135" t="n">
        <v>0.5</v>
      </c>
      <c r="J22" s="88" t="n">
        <v>11</v>
      </c>
      <c r="K22" s="89" t="s">
        <v>26</v>
      </c>
      <c r="L22" s="86" t="n">
        <v>7</v>
      </c>
      <c r="M22" s="126" t="s">
        <v>71</v>
      </c>
      <c r="N22" s="86" t="s">
        <v>56</v>
      </c>
      <c r="O22" s="91" t="n">
        <v>43860</v>
      </c>
      <c r="P22" s="136" t="n">
        <v>349</v>
      </c>
      <c r="Q22" s="136" t="n">
        <v>225</v>
      </c>
      <c r="R22" s="137" t="s">
        <v>33</v>
      </c>
      <c r="S22" s="93" t="str">
        <f aca="false">HYPERLINK("https://www.bhphotovideo.com/c/product/1512041-REG/tamron_f050_20mm_f_2_8_di_iii.html/BI/19619/KBID/12129/DFF/d10-v21-t1-x994970/SID/EZ","link*")</f>
        <v>link*</v>
      </c>
      <c r="T22" s="94"/>
      <c r="U22" s="93"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23" customFormat="false" ht="15.75" hidden="false" customHeight="false" outlineLevel="0" collapsed="false">
      <c r="A23" s="113" t="str">
        <f aca="false">HYPERLINK("https://phillipreeve.net/blog/review_voigtlander_21mm_f14_e/","Voigtlander 21mm F1.4 Nokton")</f>
        <v>Voigtlander 21mm F1.4 Nokton</v>
      </c>
      <c r="B23" s="40" t="n">
        <v>540</v>
      </c>
      <c r="C23" s="41" t="n">
        <v>21</v>
      </c>
      <c r="D23" s="138" t="n">
        <v>1.4</v>
      </c>
      <c r="E23" s="133" t="n">
        <v>70</v>
      </c>
      <c r="F23" s="139" t="n">
        <v>80</v>
      </c>
      <c r="G23" s="45" t="s">
        <v>24</v>
      </c>
      <c r="H23" s="46" t="s">
        <v>67</v>
      </c>
      <c r="I23" s="47"/>
      <c r="J23" s="48" t="n">
        <v>25</v>
      </c>
      <c r="K23" s="45" t="s">
        <v>26</v>
      </c>
      <c r="L23" s="47" t="n">
        <v>12</v>
      </c>
      <c r="M23" s="49" t="s">
        <v>55</v>
      </c>
      <c r="N23" s="47" t="s">
        <v>28</v>
      </c>
      <c r="O23" s="50" t="n">
        <v>43617</v>
      </c>
      <c r="P23" s="51" t="n">
        <v>1199</v>
      </c>
      <c r="Q23" s="51" t="s">
        <v>36</v>
      </c>
      <c r="R23" s="52" t="str">
        <f aca="false">HYPERLINK("https://amzn.to/2K7gHrC","link*")</f>
        <v>link*</v>
      </c>
      <c r="S23" s="52" t="str">
        <f aca="false">HYPERLINK("https://www.bhphotovideo.com/c/product/1480269-REG/voigtlander_ba352a_nokton_21mm_f_1_4_aspherical.html/BI/19619/KBID/12129/DFF/d10-v21-t1-x963269/SID/EZ","link*")</f>
        <v>link*</v>
      </c>
      <c r="T23" s="140"/>
      <c r="U23" s="52"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4" customFormat="false" ht="15.75" hidden="false" customHeight="false" outlineLevel="0" collapsed="false">
      <c r="A24" s="141" t="s">
        <v>72</v>
      </c>
      <c r="B24" s="81" t="n">
        <v>394</v>
      </c>
      <c r="C24" s="82" t="n">
        <v>21</v>
      </c>
      <c r="D24" s="83" t="n">
        <v>2.8</v>
      </c>
      <c r="E24" s="133" t="n">
        <v>62</v>
      </c>
      <c r="F24" s="139" t="n">
        <v>72</v>
      </c>
      <c r="G24" s="89" t="s">
        <v>24</v>
      </c>
      <c r="H24" s="87" t="s">
        <v>73</v>
      </c>
      <c r="I24" s="86" t="n">
        <v>0.13</v>
      </c>
      <c r="J24" s="88" t="n">
        <v>25</v>
      </c>
      <c r="K24" s="89" t="s">
        <v>26</v>
      </c>
      <c r="L24" s="86" t="n">
        <v>10</v>
      </c>
      <c r="M24" s="126" t="s">
        <v>74</v>
      </c>
      <c r="N24" s="86" t="s">
        <v>59</v>
      </c>
      <c r="O24" s="91" t="n">
        <v>42339</v>
      </c>
      <c r="P24" s="92" t="n">
        <v>1499</v>
      </c>
      <c r="Q24" s="92" t="n">
        <v>750</v>
      </c>
      <c r="R24" s="93" t="str">
        <f aca="false">HYPERLINK("https://amzn.to/2yspzBm","link*")</f>
        <v>link*</v>
      </c>
      <c r="S24" s="93" t="str">
        <f aca="false">HYPERLINK("https://www.bhphotovideo.com/c/product/1189220-REG/zeiss_2131_999_loxia_21mm_f_2_8_lens.html/BI/19619/KBID/12129/DFF/d10-v21-t1-x677077/SID/EZ","link*")</f>
        <v>link*</v>
      </c>
      <c r="T24" s="93" t="str">
        <f aca="false">HYPERLINK("https://amzn.to/2GHSOoA","link*")</f>
        <v>link*</v>
      </c>
      <c r="U24" s="93"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5" customFormat="false" ht="15.75" hidden="false" customHeight="false" outlineLevel="0" collapsed="false">
      <c r="A25" s="24" t="str">
        <f aca="false">HYPERLINK("https://phillipreeve.net/blog/voigtlander-21mm-f35-review/","Voigtlander 21mm F3.5 Color-Skopar")</f>
        <v>Voigtlander 21mm F3.5 Color-Skopar</v>
      </c>
      <c r="B25" s="25" t="n">
        <v>230</v>
      </c>
      <c r="C25" s="26" t="n">
        <v>21</v>
      </c>
      <c r="D25" s="27" t="n">
        <v>3.5</v>
      </c>
      <c r="E25" s="130" t="n">
        <v>63</v>
      </c>
      <c r="F25" s="131" t="n">
        <v>40</v>
      </c>
      <c r="G25" s="30" t="s">
        <v>24</v>
      </c>
      <c r="H25" s="31" t="s">
        <v>73</v>
      </c>
      <c r="I25" s="32"/>
      <c r="J25" s="33" t="n">
        <v>20</v>
      </c>
      <c r="K25" s="30" t="s">
        <v>26</v>
      </c>
      <c r="L25" s="32" t="n">
        <v>10</v>
      </c>
      <c r="M25" s="34" t="s">
        <v>61</v>
      </c>
      <c r="N25" s="32" t="s">
        <v>28</v>
      </c>
      <c r="O25" s="35" t="n">
        <v>43374</v>
      </c>
      <c r="P25" s="36" t="n">
        <v>699</v>
      </c>
      <c r="Q25" s="36" t="n">
        <v>525</v>
      </c>
      <c r="R25" s="37" t="str">
        <f aca="false">HYPERLINK("https://amzn.to/2JCie75","link*")</f>
        <v>link*</v>
      </c>
      <c r="S25" s="37" t="str">
        <f aca="false">HYPERLINK("https://www.bhphotovideo.com/c/product/1437613-REG/voigtlander_color_skopar_21mm_f_3_5_aspherical.html/BI/19619/KBID/12129/kw/VO2135E/DFF/d10-v2-t1-xVO2135E","link*")</f>
        <v>link*</v>
      </c>
      <c r="T25" s="37" t="str">
        <f aca="false">HYPERLINK("https://amzn.to/2ZoERan","link*")</f>
        <v>link*</v>
      </c>
      <c r="U25" s="37"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25" s="38"/>
    </row>
    <row r="26" customFormat="false" ht="15.75" hidden="false" customHeight="false" outlineLevel="0" collapsed="false">
      <c r="A26" s="113" t="str">
        <f aca="false">HYPERLINK("https://phillipreeve.net/blog/review-sony-fe-24mm-1-4-gm/","Sony GM 1.4/24")</f>
        <v>Sony GM 1.4/24</v>
      </c>
      <c r="B26" s="40" t="n">
        <v>445</v>
      </c>
      <c r="C26" s="41" t="n">
        <v>24</v>
      </c>
      <c r="D26" s="138" t="n">
        <v>1.4</v>
      </c>
      <c r="E26" s="133" t="n">
        <v>75</v>
      </c>
      <c r="F26" s="139" t="n">
        <v>92</v>
      </c>
      <c r="G26" s="45" t="s">
        <v>30</v>
      </c>
      <c r="H26" s="46" t="s">
        <v>54</v>
      </c>
      <c r="I26" s="47" t="n">
        <v>0.17</v>
      </c>
      <c r="J26" s="48" t="n">
        <v>25</v>
      </c>
      <c r="K26" s="45" t="s">
        <v>26</v>
      </c>
      <c r="L26" s="47" t="n">
        <v>11</v>
      </c>
      <c r="M26" s="49" t="s">
        <v>27</v>
      </c>
      <c r="N26" s="47" t="s">
        <v>32</v>
      </c>
      <c r="O26" s="50" t="n">
        <v>43374</v>
      </c>
      <c r="P26" s="51" t="n">
        <v>1399</v>
      </c>
      <c r="Q26" s="51" t="n">
        <v>1150</v>
      </c>
      <c r="R26" s="52" t="str">
        <f aca="false">HYPERLINK("https://amzn.to/2ywcbw1","link*")</f>
        <v>link*</v>
      </c>
      <c r="S26" s="52" t="str">
        <f aca="false">HYPERLINK("https://www.bhphotovideo.com/c/product/1435887-REG/sony_fe_24mm_f_1_4_gm.html/BI/19619/KBID/12129/DFF/d10-v21-t1-x915647/SID/EZ","link*")</f>
        <v>link*</v>
      </c>
      <c r="T26" s="52" t="str">
        <f aca="false">HYPERLINK("https://amzn.to/2L2tV9y","link*")</f>
        <v>link*</v>
      </c>
      <c r="U26" s="52"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7" customFormat="false" ht="15.75" hidden="false" customHeight="false" outlineLevel="0" collapsed="false">
      <c r="A27" s="80" t="s">
        <v>75</v>
      </c>
      <c r="B27" s="81" t="n">
        <v>760</v>
      </c>
      <c r="C27" s="82" t="n">
        <v>24</v>
      </c>
      <c r="D27" s="142" t="n">
        <v>1.4</v>
      </c>
      <c r="E27" s="133" t="n">
        <v>85</v>
      </c>
      <c r="F27" s="139" t="n">
        <v>116</v>
      </c>
      <c r="G27" s="86" t="s">
        <v>30</v>
      </c>
      <c r="H27" s="87" t="s">
        <v>57</v>
      </c>
      <c r="I27" s="86" t="n">
        <v>0.19</v>
      </c>
      <c r="J27" s="88" t="n">
        <v>25</v>
      </c>
      <c r="K27" s="89" t="s">
        <v>26</v>
      </c>
      <c r="L27" s="86" t="n">
        <v>9</v>
      </c>
      <c r="M27" s="122" t="n">
        <v>43784</v>
      </c>
      <c r="N27" s="86" t="s">
        <v>43</v>
      </c>
      <c r="O27" s="91" t="n">
        <v>43221</v>
      </c>
      <c r="P27" s="92" t="n">
        <v>849</v>
      </c>
      <c r="Q27" s="92" t="n">
        <v>600</v>
      </c>
      <c r="R27" s="93" t="str">
        <f aca="false">HYPERLINK("https://amzn.to/2Isw2Rv","link*")</f>
        <v>link*</v>
      </c>
      <c r="S27" s="93" t="str">
        <f aca="false">HYPERLINK("https://www.bhphotovideo.com/c/product/1393491-REG/sigma_24mm_f_1_4_dg_hsm.html/BI/19619/KBID/12129/kw/SI2414SO/DFF/d10-v2-t1-xSI2414SO","link*")</f>
        <v>link*</v>
      </c>
      <c r="T27" s="93" t="str">
        <f aca="false">HYPERLINK("https://amzn.to/2K7sIP4","link*")</f>
        <v>link*</v>
      </c>
      <c r="U27" s="93"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28" customFormat="false" ht="15.75" hidden="false" customHeight="false" outlineLevel="0" collapsed="false">
      <c r="A28" s="80" t="s">
        <v>76</v>
      </c>
      <c r="B28" s="81" t="n">
        <v>230</v>
      </c>
      <c r="C28" s="82" t="n">
        <v>24</v>
      </c>
      <c r="D28" s="142" t="n">
        <v>1.8</v>
      </c>
      <c r="E28" s="133" t="n">
        <v>65</v>
      </c>
      <c r="F28" s="139" t="n">
        <v>71.5</v>
      </c>
      <c r="G28" s="86" t="s">
        <v>30</v>
      </c>
      <c r="H28" s="87" t="s">
        <v>48</v>
      </c>
      <c r="I28" s="86" t="n">
        <v>0.21</v>
      </c>
      <c r="J28" s="88" t="n">
        <v>19</v>
      </c>
      <c r="K28" s="89" t="s">
        <v>26</v>
      </c>
      <c r="L28" s="86" t="n">
        <v>9</v>
      </c>
      <c r="M28" s="122" t="n">
        <v>44419</v>
      </c>
      <c r="N28" s="86" t="s">
        <v>47</v>
      </c>
      <c r="O28" s="91" t="n">
        <v>44317</v>
      </c>
      <c r="P28" s="92" t="n">
        <v>499</v>
      </c>
      <c r="Q28" s="92"/>
      <c r="R28" s="94"/>
      <c r="S28" s="137" t="s">
        <v>33</v>
      </c>
      <c r="T28" s="94"/>
      <c r="U28" s="94"/>
    </row>
    <row r="29" customFormat="false" ht="15.75" hidden="false" customHeight="false" outlineLevel="0" collapsed="false">
      <c r="A29" s="80" t="s">
        <v>77</v>
      </c>
      <c r="B29" s="81" t="n">
        <v>340</v>
      </c>
      <c r="C29" s="82" t="n">
        <v>24</v>
      </c>
      <c r="D29" s="83" t="n">
        <v>1.8</v>
      </c>
      <c r="E29" s="133" t="n">
        <v>70</v>
      </c>
      <c r="F29" s="134" t="n">
        <v>85</v>
      </c>
      <c r="G29" s="89" t="s">
        <v>30</v>
      </c>
      <c r="H29" s="87" t="s">
        <v>78</v>
      </c>
      <c r="I29" s="86" t="n">
        <v>0.1</v>
      </c>
      <c r="J29" s="88" t="n">
        <v>30</v>
      </c>
      <c r="K29" s="89" t="s">
        <v>26</v>
      </c>
      <c r="L29" s="86" t="n">
        <v>9</v>
      </c>
      <c r="M29" s="126" t="s">
        <v>74</v>
      </c>
      <c r="N29" s="86" t="s">
        <v>64</v>
      </c>
      <c r="O29" s="91" t="n">
        <v>44287</v>
      </c>
      <c r="P29" s="92" t="n">
        <v>429</v>
      </c>
      <c r="Q29" s="92"/>
      <c r="R29" s="94"/>
      <c r="S29" s="94"/>
      <c r="T29" s="94"/>
      <c r="U29" s="94"/>
    </row>
    <row r="30" customFormat="false" ht="15.75" hidden="false" customHeight="false" outlineLevel="0" collapsed="false">
      <c r="A30" s="143" t="s">
        <v>79</v>
      </c>
      <c r="B30" s="81" t="n">
        <v>360</v>
      </c>
      <c r="C30" s="82" t="n">
        <v>24</v>
      </c>
      <c r="D30" s="83" t="n">
        <v>2</v>
      </c>
      <c r="E30" s="133" t="n">
        <v>70</v>
      </c>
      <c r="F30" s="134" t="n">
        <v>74</v>
      </c>
      <c r="G30" s="89" t="s">
        <v>30</v>
      </c>
      <c r="H30" s="87" t="s">
        <v>67</v>
      </c>
      <c r="I30" s="86" t="n">
        <f aca="false">1/6.7</f>
        <v>0.1492537313</v>
      </c>
      <c r="J30" s="88" t="n">
        <v>24.5</v>
      </c>
      <c r="K30" s="89" t="s">
        <v>26</v>
      </c>
      <c r="L30" s="86" t="n">
        <v>9</v>
      </c>
      <c r="M30" s="126" t="s">
        <v>55</v>
      </c>
      <c r="N30" s="86" t="s">
        <v>43</v>
      </c>
      <c r="O30" s="91" t="n">
        <v>44448</v>
      </c>
      <c r="P30" s="92" t="n">
        <v>639</v>
      </c>
      <c r="Q30" s="92"/>
      <c r="R30" s="94"/>
      <c r="S30" s="137" t="s">
        <v>33</v>
      </c>
      <c r="T30" s="94"/>
      <c r="U30" s="94"/>
    </row>
    <row r="31" customFormat="false" ht="15.75" hidden="false" customHeight="false" outlineLevel="0" collapsed="false">
      <c r="A31" s="128" t="str">
        <f aca="false">HYPERLINK("https://phillipreeve.net/blog/review-samyang-af-2-4-28-fe-at-least-its-small/","Samyang AF 24mm F/2.8")</f>
        <v>Samyang AF 24mm F/2.8</v>
      </c>
      <c r="B31" s="81" t="n">
        <v>93</v>
      </c>
      <c r="C31" s="82" t="n">
        <v>24</v>
      </c>
      <c r="D31" s="83" t="n">
        <v>2.8</v>
      </c>
      <c r="E31" s="133" t="n">
        <v>61</v>
      </c>
      <c r="F31" s="134" t="n">
        <v>37</v>
      </c>
      <c r="G31" s="89" t="s">
        <v>30</v>
      </c>
      <c r="H31" s="87" t="s">
        <v>80</v>
      </c>
      <c r="I31" s="86" t="n">
        <v>0.15</v>
      </c>
      <c r="J31" s="88" t="n">
        <v>20</v>
      </c>
      <c r="K31" s="89" t="s">
        <v>26</v>
      </c>
      <c r="L31" s="86" t="n">
        <v>9</v>
      </c>
      <c r="M31" s="126" t="s">
        <v>81</v>
      </c>
      <c r="N31" s="86" t="s">
        <v>47</v>
      </c>
      <c r="O31" s="91" t="n">
        <v>43282</v>
      </c>
      <c r="P31" s="127" t="n">
        <v>279</v>
      </c>
      <c r="Q31" s="127" t="n">
        <v>175</v>
      </c>
      <c r="R31" s="93" t="str">
        <f aca="false">HYPERLINK("https://amzn.to/2NEHZ7c","link*")</f>
        <v>link*</v>
      </c>
      <c r="S31" s="93" t="str">
        <f aca="false">HYPERLINK("https://www.bhphotovideo.com/c/product/1413350-REG/samyang_syio24af_e_af_24mm_f_2_8_fe.html/BI/19619/KBID/12129/kw/SASYIO24AFE/DFF/d10-v2-t1-xSASYIO24AFE","link*")</f>
        <v>link*</v>
      </c>
      <c r="T31" s="93" t="str">
        <f aca="false">HYPERLINK("https://amzn.to/2Onv1QE","link*")</f>
        <v>link*</v>
      </c>
      <c r="U31" s="93"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32" customFormat="false" ht="15.75" hidden="false" customHeight="false" outlineLevel="0" collapsed="false">
      <c r="A32" s="144" t="str">
        <f aca="false">HYPERLINK("https://phillipreeve.net/blog/review-tamron-24mm-f-2-8-di-iii-osd-m12/","Tamron 24mm f/2.8 Di III OSD M1:2")</f>
        <v>Tamron 24mm f/2.8 Di III OSD M1:2</v>
      </c>
      <c r="B32" s="81" t="n">
        <v>215</v>
      </c>
      <c r="C32" s="82" t="n">
        <v>24</v>
      </c>
      <c r="D32" s="83" t="n">
        <v>2.8</v>
      </c>
      <c r="E32" s="133" t="n">
        <v>73</v>
      </c>
      <c r="F32" s="134" t="n">
        <v>64</v>
      </c>
      <c r="G32" s="89" t="s">
        <v>30</v>
      </c>
      <c r="H32" s="87" t="s">
        <v>54</v>
      </c>
      <c r="I32" s="135" t="n">
        <v>0.5</v>
      </c>
      <c r="J32" s="88" t="n">
        <v>12</v>
      </c>
      <c r="K32" s="89" t="s">
        <v>26</v>
      </c>
      <c r="L32" s="86" t="n">
        <v>7</v>
      </c>
      <c r="M32" s="126" t="s">
        <v>71</v>
      </c>
      <c r="N32" s="86" t="s">
        <v>56</v>
      </c>
      <c r="O32" s="91" t="n">
        <v>43796</v>
      </c>
      <c r="P32" s="92" t="n">
        <v>349</v>
      </c>
      <c r="Q32" s="92" t="n">
        <v>180</v>
      </c>
      <c r="R32" s="93" t="str">
        <f aca="false">HYPERLINK("https://amzn.to/34hgYPr","link*")</f>
        <v>link*</v>
      </c>
      <c r="S32" s="93" t="str">
        <f aca="false">HYPERLINK("https://www.bhphotovideo.com/c/product/1512042-REG/tamron_f051_24mm_f_2_8_di_iii.html/BI/19619/KBID/12129/DFF/d10-v21-t1-x994971/SID/EZ","link*")</f>
        <v>link*</v>
      </c>
      <c r="T32" s="93" t="str">
        <f aca="false">HYPERLINK("https://amzn.to/38yg1G1","link*")</f>
        <v>link*</v>
      </c>
      <c r="U32" s="93"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33" customFormat="false" ht="15.75" hidden="false" customHeight="false" outlineLevel="0" collapsed="false">
      <c r="A33" s="144" t="str">
        <f aca="false">HYPERLINK("https://phillipreeve.net/blog/review-sony-fe-2-824-70mm-gm/","Sony GM 2.8/24-70")</f>
        <v>Sony GM 2.8/24-70</v>
      </c>
      <c r="B33" s="81" t="n">
        <v>886</v>
      </c>
      <c r="C33" s="82" t="n">
        <v>24</v>
      </c>
      <c r="D33" s="83" t="n">
        <v>2.8</v>
      </c>
      <c r="E33" s="133" t="n">
        <v>88</v>
      </c>
      <c r="F33" s="134" t="n">
        <v>136</v>
      </c>
      <c r="G33" s="89" t="s">
        <v>30</v>
      </c>
      <c r="H33" s="87" t="s">
        <v>52</v>
      </c>
      <c r="I33" s="135" t="n">
        <v>0.25</v>
      </c>
      <c r="J33" s="88" t="n">
        <v>38</v>
      </c>
      <c r="K33" s="89" t="s">
        <v>26</v>
      </c>
      <c r="L33" s="86" t="n">
        <v>9</v>
      </c>
      <c r="M33" s="126" t="s">
        <v>45</v>
      </c>
      <c r="N33" s="86" t="s">
        <v>32</v>
      </c>
      <c r="O33" s="91" t="n">
        <v>42401</v>
      </c>
      <c r="P33" s="92" t="n">
        <v>2199</v>
      </c>
      <c r="Q33" s="92" t="n">
        <v>1400</v>
      </c>
      <c r="R33" s="93" t="str">
        <f aca="false">HYPERLINK("https://amzn.to/2STHavK","link*")</f>
        <v>link*</v>
      </c>
      <c r="S33" s="93" t="str">
        <f aca="false">HYPERLINK("https://www.bhphotovideo.com/c/search?Ntt=gm%2024-70&amp;N=0&amp;InitialSearch=yes&amp;sts=ma&amp;Top+Nav-Search=&amp;BI=19619&amp;KBID=12129&amp;KWID=EZ","link*")</f>
        <v>link*</v>
      </c>
      <c r="T33" s="93" t="str">
        <f aca="false">HYPERLINK("https://amzn.to/2ZwoyU7","link*")</f>
        <v>link*</v>
      </c>
      <c r="U33" s="93"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34" customFormat="false" ht="15.75" hidden="false" customHeight="false" outlineLevel="0" collapsed="false">
      <c r="A34" s="132" t="s">
        <v>82</v>
      </c>
      <c r="B34" s="81" t="n">
        <v>835</v>
      </c>
      <c r="C34" s="82" t="n">
        <v>24</v>
      </c>
      <c r="D34" s="83" t="n">
        <v>2.8</v>
      </c>
      <c r="E34" s="133" t="n">
        <v>87.8</v>
      </c>
      <c r="F34" s="134" t="n">
        <v>122.9</v>
      </c>
      <c r="G34" s="89" t="s">
        <v>30</v>
      </c>
      <c r="H34" s="87" t="s">
        <v>52</v>
      </c>
      <c r="I34" s="135" t="n">
        <v>0.29</v>
      </c>
      <c r="J34" s="88" t="n">
        <v>18</v>
      </c>
      <c r="K34" s="89" t="s">
        <v>26</v>
      </c>
      <c r="L34" s="86" t="n">
        <v>11</v>
      </c>
      <c r="M34" s="126" t="s">
        <v>83</v>
      </c>
      <c r="N34" s="86" t="s">
        <v>43</v>
      </c>
      <c r="O34" s="91" t="n">
        <v>43799</v>
      </c>
      <c r="P34" s="145" t="s">
        <v>84</v>
      </c>
      <c r="Q34" s="92" t="n">
        <v>1050</v>
      </c>
      <c r="R34" s="93" t="str">
        <f aca="false">HYPERLINK("https://amzn.to/2YPjpb1","link*")</f>
        <v>link*</v>
      </c>
      <c r="S34" s="93" t="str">
        <f aca="false">HYPERLINK("https://www.bhphotovideo.com/c/product/1516303-REG/sigma_24_70mm_f_2_8_dg_dn.html/BI/19619/KBID/12129/DFF/d10-v21-t1-x999330/SID/EZ","link*")</f>
        <v>link*</v>
      </c>
      <c r="T34" s="94" t="s">
        <v>33</v>
      </c>
      <c r="U34" s="137" t="s">
        <v>33</v>
      </c>
    </row>
    <row r="35" customFormat="false" ht="15.75" hidden="false" customHeight="false" outlineLevel="0" collapsed="false">
      <c r="A35" s="146" t="s">
        <v>85</v>
      </c>
      <c r="B35" s="147" t="n">
        <v>162</v>
      </c>
      <c r="C35" s="148" t="n">
        <v>24</v>
      </c>
      <c r="D35" s="149" t="n">
        <v>2.8</v>
      </c>
      <c r="E35" s="150" t="n">
        <v>68</v>
      </c>
      <c r="F35" s="151" t="n">
        <v>45</v>
      </c>
      <c r="G35" s="152" t="s">
        <v>30</v>
      </c>
      <c r="H35" s="153" t="s">
        <v>80</v>
      </c>
      <c r="I35" s="154" t="n">
        <v>0.13</v>
      </c>
      <c r="J35" s="155" t="n">
        <v>24</v>
      </c>
      <c r="K35" s="152" t="s">
        <v>26</v>
      </c>
      <c r="L35" s="156" t="n">
        <v>7</v>
      </c>
      <c r="M35" s="157" t="s">
        <v>86</v>
      </c>
      <c r="N35" s="156" t="s">
        <v>32</v>
      </c>
      <c r="O35" s="158" t="n">
        <v>44287</v>
      </c>
      <c r="P35" s="159" t="n">
        <v>599</v>
      </c>
      <c r="Q35" s="92"/>
      <c r="R35" s="94"/>
      <c r="S35" s="94"/>
      <c r="T35" s="94"/>
      <c r="U35" s="137"/>
      <c r="V35" s="69"/>
    </row>
    <row r="36" customFormat="false" ht="15.75" hidden="false" customHeight="false" outlineLevel="0" collapsed="false">
      <c r="A36" s="160" t="s">
        <v>87</v>
      </c>
      <c r="B36" s="161" t="n">
        <v>230</v>
      </c>
      <c r="C36" s="162" t="n">
        <v>24</v>
      </c>
      <c r="D36" s="163" t="n">
        <v>3.5</v>
      </c>
      <c r="E36" s="164" t="n">
        <v>64</v>
      </c>
      <c r="F36" s="165" t="n">
        <v>51</v>
      </c>
      <c r="G36" s="166" t="s">
        <v>30</v>
      </c>
      <c r="H36" s="167" t="s">
        <v>78</v>
      </c>
      <c r="I36" s="168" t="n">
        <v>0.5</v>
      </c>
      <c r="J36" s="169" t="s">
        <v>88</v>
      </c>
      <c r="K36" s="170" t="s">
        <v>26</v>
      </c>
      <c r="L36" s="167" t="n">
        <v>7</v>
      </c>
      <c r="M36" s="171" t="n">
        <v>44053</v>
      </c>
      <c r="N36" s="166" t="s">
        <v>43</v>
      </c>
      <c r="O36" s="172" t="n">
        <v>44196</v>
      </c>
      <c r="P36" s="173" t="n">
        <v>549</v>
      </c>
      <c r="Q36" s="92"/>
      <c r="R36" s="94"/>
      <c r="S36" s="137" t="s">
        <v>33</v>
      </c>
      <c r="T36" s="94"/>
      <c r="U36" s="137"/>
    </row>
    <row r="37" customFormat="false" ht="15.75" hidden="false" customHeight="false" outlineLevel="0" collapsed="false">
      <c r="A37" s="80" t="s">
        <v>89</v>
      </c>
      <c r="B37" s="81" t="n">
        <v>780</v>
      </c>
      <c r="C37" s="82" t="n">
        <v>24</v>
      </c>
      <c r="D37" s="83" t="s">
        <v>90</v>
      </c>
      <c r="E37" s="133" t="n">
        <v>80</v>
      </c>
      <c r="F37" s="134" t="n">
        <v>119</v>
      </c>
      <c r="G37" s="89" t="s">
        <v>30</v>
      </c>
      <c r="H37" s="87" t="s">
        <v>49</v>
      </c>
      <c r="I37" s="135" t="n">
        <v>0.27</v>
      </c>
      <c r="J37" s="88" t="n">
        <v>50</v>
      </c>
      <c r="K37" s="174" t="s">
        <v>50</v>
      </c>
      <c r="L37" s="86" t="n">
        <v>7</v>
      </c>
      <c r="M37" s="126" t="s">
        <v>91</v>
      </c>
      <c r="N37" s="86" t="s">
        <v>32</v>
      </c>
      <c r="O37" s="91" t="n">
        <v>42064</v>
      </c>
      <c r="P37" s="92" t="n">
        <v>998</v>
      </c>
      <c r="Q37" s="92" t="n">
        <v>550</v>
      </c>
      <c r="R37" s="93" t="str">
        <f aca="false">HYPERLINK("http://amzn.to/2fbX5FU","link*")</f>
        <v>link*</v>
      </c>
      <c r="S37" s="93" t="str">
        <f aca="false">HYPERLINK("https://www.bhphotovideo.com/c/search?Ntt=sony%2024-240&amp;N=0&amp;InitialSearch=yes&amp;sts=ma&amp;Top+Nav-Search=&amp;BI=19619&amp;KBID=12129&amp;KWID=EZ","link*")</f>
        <v>link*</v>
      </c>
      <c r="T37" s="93" t="str">
        <f aca="false">HYPERLINK("http://amzn.to/2wyrL7A","link*")</f>
        <v>link*</v>
      </c>
      <c r="U37" s="93"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38" customFormat="false" ht="15.75" hidden="false" customHeight="false" outlineLevel="0" collapsed="false">
      <c r="A38" s="80" t="s">
        <v>92</v>
      </c>
      <c r="B38" s="81" t="n">
        <v>663</v>
      </c>
      <c r="C38" s="82" t="n">
        <v>24</v>
      </c>
      <c r="D38" s="83" t="n">
        <v>4</v>
      </c>
      <c r="E38" s="133" t="n">
        <v>83</v>
      </c>
      <c r="F38" s="139" t="n">
        <v>113</v>
      </c>
      <c r="G38" s="89" t="s">
        <v>30</v>
      </c>
      <c r="H38" s="87" t="s">
        <v>57</v>
      </c>
      <c r="I38" s="135" t="n">
        <v>0.31</v>
      </c>
      <c r="J38" s="88" t="n">
        <v>38</v>
      </c>
      <c r="K38" s="174" t="s">
        <v>50</v>
      </c>
      <c r="L38" s="86" t="n">
        <v>9</v>
      </c>
      <c r="M38" s="126" t="s">
        <v>35</v>
      </c>
      <c r="N38" s="86" t="s">
        <v>32</v>
      </c>
      <c r="O38" s="91" t="n">
        <v>43009</v>
      </c>
      <c r="P38" s="92" t="n">
        <v>1398</v>
      </c>
      <c r="Q38" s="69" t="n">
        <v>850</v>
      </c>
      <c r="R38" s="93" t="str">
        <f aca="false">HYPERLINK("https://amzn.to/2K7LwMR","link*")</f>
        <v>link*</v>
      </c>
      <c r="S38" s="93" t="str">
        <f aca="false">HYPERLINK("https://www.bhphotovideo.com/c/search?Ntt=sony%2024-105&amp;N=0&amp;InitialSearch=yes&amp;sts=ma&amp;Top+Nav-Search=&amp;BI=19619&amp;KBID=12129&amp;KWID=EZ","link*")</f>
        <v>link*</v>
      </c>
      <c r="T38" s="93" t="str">
        <f aca="false">HYPERLINK("https://amzn.to/2Ld8hOS","link*")</f>
        <v>link*</v>
      </c>
      <c r="U38" s="93"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39" customFormat="false" ht="15.75" hidden="false" customHeight="false" outlineLevel="0" collapsed="false">
      <c r="A39" s="24" t="str">
        <f aca="false">HYPERLINK("https://phillipreeve.net/blog/rolling-review-carl-zeiss-vario-tessar-t-fe-424-70-za/","Sony ZA 4/24-70 OSS")</f>
        <v>Sony ZA 4/24-70 OSS</v>
      </c>
      <c r="B39" s="25" t="n">
        <v>426</v>
      </c>
      <c r="C39" s="26" t="n">
        <v>24</v>
      </c>
      <c r="D39" s="27" t="n">
        <v>4</v>
      </c>
      <c r="E39" s="130" t="n">
        <v>73</v>
      </c>
      <c r="F39" s="175" t="n">
        <v>95</v>
      </c>
      <c r="G39" s="30" t="s">
        <v>30</v>
      </c>
      <c r="H39" s="31" t="s">
        <v>54</v>
      </c>
      <c r="I39" s="32" t="n">
        <v>0.2</v>
      </c>
      <c r="J39" s="33" t="n">
        <v>40</v>
      </c>
      <c r="K39" s="176" t="s">
        <v>50</v>
      </c>
      <c r="L39" s="32" t="n">
        <v>7</v>
      </c>
      <c r="M39" s="34" t="s">
        <v>38</v>
      </c>
      <c r="N39" s="32" t="s">
        <v>32</v>
      </c>
      <c r="O39" s="35" t="n">
        <v>41640</v>
      </c>
      <c r="P39" s="36" t="n">
        <v>898</v>
      </c>
      <c r="Q39" s="36" t="n">
        <v>420</v>
      </c>
      <c r="R39" s="37" t="str">
        <f aca="false">HYPERLINK("http://amzn.to/2vlG2Yq","link*")</f>
        <v>link*</v>
      </c>
      <c r="S39" s="37" t="str">
        <f aca="false">HYPERLINK("https://www.bhphotovideo.com/c/product/1008126-REG/sony_sel2470z_vario_tessar_t_fe_24_70mm.html/BI/19619/KBID/12129/DFF/d10-v21-t1-x466842/SID/EZ","link*")</f>
        <v>link*</v>
      </c>
      <c r="T39" s="37" t="str">
        <f aca="false">HYPERLINK("http://amzn.to/2fl1XZk","link*")</f>
        <v>link*</v>
      </c>
      <c r="U39" s="37"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39" s="38"/>
    </row>
    <row r="40" customFormat="false" ht="15.75" hidden="false" customHeight="false" outlineLevel="0" collapsed="false">
      <c r="A40" s="113" t="str">
        <f aca="false">HYPERLINK("https://phillipreeve.net/blog/review-zeiss-batis-distagon-t-25mm-f2/","Zeiss Batis 2/25")</f>
        <v>Zeiss Batis 2/25</v>
      </c>
      <c r="B40" s="40" t="n">
        <v>335</v>
      </c>
      <c r="C40" s="41" t="n">
        <v>25</v>
      </c>
      <c r="D40" s="42" t="n">
        <v>2</v>
      </c>
      <c r="E40" s="133" t="n">
        <v>92</v>
      </c>
      <c r="F40" s="139" t="n">
        <v>78</v>
      </c>
      <c r="G40" s="45" t="s">
        <v>30</v>
      </c>
      <c r="H40" s="46" t="s">
        <v>54</v>
      </c>
      <c r="I40" s="47" t="n">
        <v>0.19</v>
      </c>
      <c r="J40" s="48" t="n">
        <v>20</v>
      </c>
      <c r="K40" s="45" t="s">
        <v>26</v>
      </c>
      <c r="L40" s="47" t="n">
        <v>9</v>
      </c>
      <c r="M40" s="49" t="s">
        <v>93</v>
      </c>
      <c r="N40" s="47" t="s">
        <v>59</v>
      </c>
      <c r="O40" s="50" t="n">
        <v>42125</v>
      </c>
      <c r="P40" s="51" t="n">
        <v>1299</v>
      </c>
      <c r="Q40" s="51" t="n">
        <v>550</v>
      </c>
      <c r="R40" s="52" t="str">
        <f aca="false">HYPERLINK("https://amzn.to/2ypHQiT","link*")</f>
        <v>link*</v>
      </c>
      <c r="S40" s="52" t="str">
        <f aca="false">HYPERLINK("https://www.bhphotovideo.com/c/product/1140832-REG/zeiss_2103_750_25mm_f_2_0_batis_wide.html/BI/19619/KBID/12129/DFF/d10-v21-t1-x627141/SID/EZ","link*")</f>
        <v>link*</v>
      </c>
      <c r="T40" s="52" t="str">
        <f aca="false">HYPERLINK("https://amzn.to/2L20DIj","link*")</f>
        <v>link*</v>
      </c>
      <c r="U40" s="52"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41" customFormat="false" ht="15.75" hidden="false" customHeight="false" outlineLevel="0" collapsed="false">
      <c r="A41" s="24" t="str">
        <f aca="false">HYPERLINK("https://phillipreeve.net/blog/review-zeiss-loxia-2-4-25mm-distagon/","Zeiss Loxia 2.4/25")</f>
        <v>Zeiss Loxia 2.4/25</v>
      </c>
      <c r="B41" s="25" t="n">
        <v>393</v>
      </c>
      <c r="C41" s="26" t="n">
        <v>25</v>
      </c>
      <c r="D41" s="27" t="n">
        <v>2.4</v>
      </c>
      <c r="E41" s="130" t="n">
        <v>62</v>
      </c>
      <c r="F41" s="175" t="n">
        <v>75</v>
      </c>
      <c r="G41" s="30" t="s">
        <v>24</v>
      </c>
      <c r="H41" s="31" t="s">
        <v>73</v>
      </c>
      <c r="I41" s="32" t="n">
        <v>0.16</v>
      </c>
      <c r="J41" s="33" t="n">
        <v>25</v>
      </c>
      <c r="K41" s="30" t="s">
        <v>26</v>
      </c>
      <c r="L41" s="32" t="n">
        <v>10</v>
      </c>
      <c r="M41" s="34" t="s">
        <v>93</v>
      </c>
      <c r="N41" s="32" t="s">
        <v>59</v>
      </c>
      <c r="O41" s="35" t="n">
        <v>43160</v>
      </c>
      <c r="P41" s="36" t="n">
        <v>1299</v>
      </c>
      <c r="Q41" s="36" t="n">
        <v>700</v>
      </c>
      <c r="R41" s="37" t="str">
        <f aca="false">HYPERLINK("https://amzn.to/2OlyeAf","link*")</f>
        <v>link*</v>
      </c>
      <c r="S41" s="37" t="str">
        <f aca="false">HYPERLINK("https://www.bhphotovideo.com/c/product/1389169-REG/zeiss_000000_2218_783_loxia_25mm_f_2_4_lens.html/BI/19619/KBID/12129/kw/ZE2524L/DFF/d10-v2-t1-xZE2524L","link*")</f>
        <v>link*</v>
      </c>
      <c r="T41" s="37" t="str">
        <f aca="false">HYPERLINK("https://amzn.to/2OlyeAf","link*")</f>
        <v>link*</v>
      </c>
      <c r="U41" s="37"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41" s="38"/>
    </row>
    <row r="42" customFormat="false" ht="15.75" hidden="false" customHeight="false" outlineLevel="0" collapsed="false">
      <c r="A42" s="39" t="s">
        <v>94</v>
      </c>
      <c r="B42" s="40" t="n">
        <v>965</v>
      </c>
      <c r="C42" s="41" t="n">
        <v>28</v>
      </c>
      <c r="D42" s="42" t="n">
        <v>1.4</v>
      </c>
      <c r="E42" s="133" t="n">
        <v>83</v>
      </c>
      <c r="F42" s="139" t="n">
        <v>134</v>
      </c>
      <c r="G42" s="45" t="s">
        <v>30</v>
      </c>
      <c r="H42" s="46" t="s">
        <v>57</v>
      </c>
      <c r="I42" s="47" t="n">
        <v>0.19</v>
      </c>
      <c r="J42" s="48" t="n">
        <v>28</v>
      </c>
      <c r="K42" s="45" t="s">
        <v>26</v>
      </c>
      <c r="L42" s="47" t="n">
        <v>9</v>
      </c>
      <c r="M42" s="49" t="s">
        <v>91</v>
      </c>
      <c r="N42" s="47" t="s">
        <v>43</v>
      </c>
      <c r="O42" s="50" t="n">
        <v>43435</v>
      </c>
      <c r="P42" s="51" t="n">
        <v>1399</v>
      </c>
      <c r="Q42" s="51" t="n">
        <v>700</v>
      </c>
      <c r="R42" s="52" t="str">
        <f aca="false">HYPERLINK("https://amzn.to/2Wn0pxO","link*")</f>
        <v>link*</v>
      </c>
      <c r="S42" s="52" t="str">
        <f aca="false">HYPERLINK("https://www.bhphotovideo.com/c/product/1436285-REG/sigma_28mm_f_1_4_dg_hsm.html/BI/19619/KBID/12129/kw/SI2814DGSE/DFF/d10-v2-t1-xSI2814DGSE","link*")</f>
        <v>link*</v>
      </c>
      <c r="T42" s="52" t="str">
        <f aca="false">HYPERLINK("https://amzn.to/2WzVkHd","link*")</f>
        <v>link*</v>
      </c>
      <c r="U42" s="52"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43" customFormat="false" ht="15.75" hidden="false" customHeight="false" outlineLevel="0" collapsed="false">
      <c r="A43" s="128" t="str">
        <f aca="false">HYPERLINK("https://www.systemkamera-forum.de/blog/2015/05/sony-fe-28mm-f2-test-und-erfahrungsbericht/","Sony FE 2/28")</f>
        <v>Sony FE 2/28</v>
      </c>
      <c r="B43" s="81" t="n">
        <v>200</v>
      </c>
      <c r="C43" s="82" t="n">
        <v>28</v>
      </c>
      <c r="D43" s="83" t="n">
        <v>2</v>
      </c>
      <c r="E43" s="133" t="n">
        <v>60</v>
      </c>
      <c r="F43" s="139" t="n">
        <v>60</v>
      </c>
      <c r="G43" s="89" t="s">
        <v>30</v>
      </c>
      <c r="H43" s="87" t="s">
        <v>80</v>
      </c>
      <c r="I43" s="86" t="n">
        <v>0.13</v>
      </c>
      <c r="J43" s="88" t="n">
        <v>29</v>
      </c>
      <c r="K43" s="89" t="s">
        <v>26</v>
      </c>
      <c r="L43" s="86" t="n">
        <v>9</v>
      </c>
      <c r="M43" s="126" t="s">
        <v>61</v>
      </c>
      <c r="N43" s="86" t="s">
        <v>32</v>
      </c>
      <c r="O43" s="91" t="n">
        <v>42064</v>
      </c>
      <c r="P43" s="145" t="n">
        <v>448</v>
      </c>
      <c r="Q43" s="145" t="n">
        <v>240</v>
      </c>
      <c r="R43" s="93" t="str">
        <f aca="false">HYPERLINK("https://amzn.to/2GXJWdo","link*")</f>
        <v>link*</v>
      </c>
      <c r="S43" s="93" t="str">
        <f aca="false">HYPERLINK("https://www.bhphotovideo.com/c/product/1402637-REG/sony_fe_28mm_f_2_lens.html/BI/19619/KBID/12129/kw/SO2820F/DFF/d10-v2-t1-xSO2820F","link*")</f>
        <v>link*</v>
      </c>
      <c r="T43" s="93" t="str">
        <f aca="false">HYPERLINK("http://amzn.to/2wyLOCO","link*")</f>
        <v>link*</v>
      </c>
      <c r="U43" s="93"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44" customFormat="false" ht="15.75" hidden="false" customHeight="false" outlineLevel="0" collapsed="false">
      <c r="A44" s="128" t="str">
        <f aca="false">HYPERLINK("https://phillipreeve.net/blog/review-tamron-28-75mm-f-2-8-di-iii-rxd-sony-e-mount/","Tamron 2.8/28-75")</f>
        <v>Tamron 2.8/28-75</v>
      </c>
      <c r="B44" s="81" t="n">
        <v>550</v>
      </c>
      <c r="C44" s="82" t="n">
        <v>28</v>
      </c>
      <c r="D44" s="83" t="n">
        <v>2.8</v>
      </c>
      <c r="E44" s="133" t="n">
        <v>73</v>
      </c>
      <c r="F44" s="139" t="n">
        <v>118</v>
      </c>
      <c r="G44" s="89" t="s">
        <v>30</v>
      </c>
      <c r="H44" s="87" t="s">
        <v>54</v>
      </c>
      <c r="I44" s="135" t="n">
        <v>0.34</v>
      </c>
      <c r="J44" s="88" t="n">
        <v>19</v>
      </c>
      <c r="K44" s="89" t="s">
        <v>26</v>
      </c>
      <c r="L44" s="86" t="n">
        <v>9</v>
      </c>
      <c r="M44" s="126" t="s">
        <v>95</v>
      </c>
      <c r="N44" s="86" t="s">
        <v>56</v>
      </c>
      <c r="O44" s="91" t="n">
        <v>43252</v>
      </c>
      <c r="P44" s="145" t="n">
        <v>879</v>
      </c>
      <c r="Q44" s="92" t="n">
        <v>625</v>
      </c>
      <c r="R44" s="93" t="str">
        <f aca="false">HYPERLINK("https://amzn.to/2ST5uxq","link*")</f>
        <v>link*</v>
      </c>
      <c r="S44" s="93" t="str">
        <f aca="false">HYPERLINK("https://www.bhphotovideo.com/c/product/1393332-REG/tamron_a036_28_75mm_f_2_8_di_iii.html/BI/19619/KBID/12129/DFF/d10-v21-t1-x892059/SID/EZ","link*")</f>
        <v>link*</v>
      </c>
      <c r="T44" s="93" t="str">
        <f aca="false">HYPERLINK("https://amzn.to/2ZmSzdU","link*")</f>
        <v>link*</v>
      </c>
      <c r="U44" s="93"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45" customFormat="false" ht="15.75" hidden="false" customHeight="false" outlineLevel="0" collapsed="false">
      <c r="A45" s="177" t="s">
        <v>96</v>
      </c>
      <c r="B45" s="178" t="n">
        <v>575</v>
      </c>
      <c r="C45" s="179" t="n">
        <v>28</v>
      </c>
      <c r="D45" s="180" t="n">
        <v>2.8</v>
      </c>
      <c r="E45" s="181" t="n">
        <v>74</v>
      </c>
      <c r="F45" s="182" t="n">
        <v>117</v>
      </c>
      <c r="G45" s="183" t="s">
        <v>30</v>
      </c>
      <c r="H45" s="184" t="s">
        <v>54</v>
      </c>
      <c r="I45" s="185" t="n">
        <f aca="false">1/3.1</f>
        <v>0.3225806452</v>
      </c>
      <c r="J45" s="186" t="n">
        <v>19</v>
      </c>
      <c r="K45" s="183" t="s">
        <v>26</v>
      </c>
      <c r="L45" s="184" t="n">
        <v>9</v>
      </c>
      <c r="M45" s="187" t="s">
        <v>97</v>
      </c>
      <c r="N45" s="188" t="s">
        <v>56</v>
      </c>
      <c r="O45" s="189" t="n">
        <v>43983</v>
      </c>
      <c r="P45" s="190" t="n">
        <v>729</v>
      </c>
      <c r="Q45" s="190" t="s">
        <v>36</v>
      </c>
      <c r="R45" s="191"/>
      <c r="S45" s="191"/>
      <c r="T45" s="191"/>
      <c r="U45" s="93"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45" s="192"/>
      <c r="W45" s="192"/>
      <c r="X45" s="192"/>
      <c r="Y45" s="192"/>
      <c r="Z45" s="192"/>
      <c r="AA45" s="192"/>
      <c r="AB45" s="192"/>
    </row>
    <row r="46" customFormat="false" ht="15.75" hidden="false" customHeight="false" outlineLevel="0" collapsed="false">
      <c r="A46" s="177" t="s">
        <v>98</v>
      </c>
      <c r="B46" s="178" t="n">
        <v>470</v>
      </c>
      <c r="C46" s="179" t="n">
        <v>28</v>
      </c>
      <c r="D46" s="180" t="n">
        <v>2.8</v>
      </c>
      <c r="E46" s="193" t="n">
        <v>72.2</v>
      </c>
      <c r="F46" s="194" t="n">
        <v>101.5</v>
      </c>
      <c r="G46" s="183" t="s">
        <v>30</v>
      </c>
      <c r="H46" s="184" t="s">
        <v>54</v>
      </c>
      <c r="I46" s="185" t="n">
        <f aca="false">1/3.3</f>
        <v>0.303030303</v>
      </c>
      <c r="J46" s="186" t="n">
        <v>19</v>
      </c>
      <c r="K46" s="183" t="s">
        <v>26</v>
      </c>
      <c r="L46" s="184" t="n">
        <v>9</v>
      </c>
      <c r="M46" s="187" t="s">
        <v>99</v>
      </c>
      <c r="N46" s="188" t="s">
        <v>43</v>
      </c>
      <c r="O46" s="189" t="n">
        <v>44268</v>
      </c>
      <c r="P46" s="190" t="n">
        <v>899</v>
      </c>
      <c r="Q46" s="190" t="s">
        <v>36</v>
      </c>
      <c r="R46" s="191"/>
      <c r="S46" s="191" t="s">
        <v>33</v>
      </c>
      <c r="T46" s="191"/>
      <c r="U46" s="94"/>
      <c r="V46" s="192"/>
      <c r="W46" s="192"/>
      <c r="X46" s="192"/>
      <c r="Y46" s="192"/>
      <c r="Z46" s="192"/>
      <c r="AA46" s="192"/>
      <c r="AB46" s="192"/>
    </row>
    <row r="47" customFormat="false" ht="15.75" hidden="false" customHeight="false" outlineLevel="0" collapsed="false">
      <c r="A47" s="143" t="s">
        <v>100</v>
      </c>
      <c r="B47" s="69" t="n">
        <v>540</v>
      </c>
      <c r="C47" s="179" t="n">
        <v>28</v>
      </c>
      <c r="D47" s="180" t="n">
        <v>2.8</v>
      </c>
      <c r="E47" s="193" t="n">
        <v>75.8</v>
      </c>
      <c r="F47" s="194" t="n">
        <v>117.5</v>
      </c>
      <c r="G47" s="183" t="s">
        <v>30</v>
      </c>
      <c r="H47" s="184" t="s">
        <v>54</v>
      </c>
      <c r="I47" s="185"/>
      <c r="J47" s="186" t="n">
        <v>18</v>
      </c>
      <c r="K47" s="183" t="s">
        <v>26</v>
      </c>
      <c r="L47" s="184" t="n">
        <v>9</v>
      </c>
      <c r="M47" s="187" t="s">
        <v>101</v>
      </c>
      <c r="N47" s="188" t="s">
        <v>56</v>
      </c>
      <c r="O47" s="189" t="n">
        <v>44498</v>
      </c>
      <c r="P47" s="190" t="n">
        <v>899</v>
      </c>
      <c r="Q47" s="190"/>
      <c r="R47" s="191"/>
      <c r="S47" s="191" t="s">
        <v>33</v>
      </c>
      <c r="T47" s="191"/>
      <c r="U47" s="94"/>
      <c r="V47" s="192"/>
      <c r="W47" s="192"/>
      <c r="X47" s="192"/>
      <c r="Y47" s="192"/>
      <c r="Z47" s="192"/>
      <c r="AA47" s="192"/>
      <c r="AB47" s="192"/>
    </row>
    <row r="48" customFormat="false" ht="15.75" hidden="false" customHeight="false" outlineLevel="0" collapsed="false">
      <c r="A48" s="80" t="s">
        <v>102</v>
      </c>
      <c r="B48" s="81" t="n">
        <v>295</v>
      </c>
      <c r="C48" s="82" t="n">
        <v>28</v>
      </c>
      <c r="D48" s="83" t="s">
        <v>103</v>
      </c>
      <c r="E48" s="133" t="n">
        <v>73</v>
      </c>
      <c r="F48" s="139" t="n">
        <v>83</v>
      </c>
      <c r="G48" s="89" t="s">
        <v>30</v>
      </c>
      <c r="H48" s="87" t="s">
        <v>78</v>
      </c>
      <c r="I48" s="86" t="n">
        <v>0.19</v>
      </c>
      <c r="J48" s="88" t="n">
        <v>30</v>
      </c>
      <c r="K48" s="174" t="s">
        <v>50</v>
      </c>
      <c r="L48" s="86" t="n">
        <v>7</v>
      </c>
      <c r="M48" s="126" t="s">
        <v>61</v>
      </c>
      <c r="N48" s="86" t="s">
        <v>32</v>
      </c>
      <c r="O48" s="91" t="n">
        <v>41548</v>
      </c>
      <c r="P48" s="92" t="n">
        <v>398</v>
      </c>
      <c r="Q48" s="92" t="n">
        <v>110</v>
      </c>
      <c r="R48" s="93" t="str">
        <f aca="false">HYPERLINK("https://www.amazon.com/gp/product/B00FYOFADE/ref=as_li_tl?ie=UTF8&amp;tag=wwwphillipree-20&amp;camp=1789&amp;creative=9325&amp;linkCode=as2&amp;creativeASIN=B00FYOFADE&amp;linkId=96720b245156eae53bb1a672d4453d3f","link*")</f>
        <v>link*</v>
      </c>
      <c r="S48" s="93" t="str">
        <f aca="false">HYPERLINK("https://www.bhphotovideo.com/c/product/1015472-REG/sony_sel2870_fe_28_70mm_f_3_5_5_6_oss.html/BI/19619/KBID/12129/DFF/d10-v21-t1-x473993/SID/EZ","link*")</f>
        <v>link*</v>
      </c>
      <c r="T48" s="93" t="str">
        <f aca="false">HYPERLINK("https://www.amazon.de/gp/product/B00HSHFPD0/ref=as_li_tl?ie=UTF8&amp;tag=wwwphillipree-21&amp;camp=1638&amp;creative=6742&amp;linkCode=as2&amp;creativeASIN=B00HSHFPD0&amp;linkId=6701f30673f8a4071232ca85e1953506","link*")</f>
        <v>link*</v>
      </c>
      <c r="U48" s="93"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49" customFormat="false" ht="15.75" hidden="false" customHeight="false" outlineLevel="0" collapsed="false">
      <c r="A49" s="95" t="s">
        <v>104</v>
      </c>
      <c r="B49" s="25" t="n">
        <v>1215</v>
      </c>
      <c r="C49" s="26" t="n">
        <v>28</v>
      </c>
      <c r="D49" s="27" t="n">
        <v>4</v>
      </c>
      <c r="E49" s="130" t="n">
        <v>105</v>
      </c>
      <c r="F49" s="175" t="n">
        <v>165</v>
      </c>
      <c r="G49" s="30" t="s">
        <v>30</v>
      </c>
      <c r="H49" s="195" t="s">
        <v>105</v>
      </c>
      <c r="I49" s="32"/>
      <c r="J49" s="33" t="n">
        <v>40</v>
      </c>
      <c r="K49" s="176" t="s">
        <v>50</v>
      </c>
      <c r="L49" s="32" t="n">
        <v>9</v>
      </c>
      <c r="M49" s="34" t="s">
        <v>106</v>
      </c>
      <c r="N49" s="32" t="s">
        <v>32</v>
      </c>
      <c r="O49" s="35" t="n">
        <v>41883</v>
      </c>
      <c r="P49" s="36" t="n">
        <v>2498</v>
      </c>
      <c r="Q49" s="36" t="n">
        <v>1500</v>
      </c>
      <c r="R49" s="37" t="str">
        <f aca="false">HYPERLINK("http://amzn.to/2v2kiy9","link*")</f>
        <v>link*</v>
      </c>
      <c r="S49" s="37" t="str">
        <f aca="false">HYPERLINK("https://www.bhphotovideo.com/c/product/1082051-REG/sony_selp28135g_e_pz_28_135mm_f_4.html/BI/19619/KBID/12129/DFF/d10-v21-t1-x556056/SID/EZ","link*")</f>
        <v>link*</v>
      </c>
      <c r="T49" s="37" t="str">
        <f aca="false">HYPERLINK("http://amzn.to/2wlpg9b","link*")</f>
        <v>link*</v>
      </c>
      <c r="U49" s="37"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49" s="38" t="s">
        <v>107</v>
      </c>
    </row>
    <row r="50" customFormat="false" ht="15.75" hidden="false" customHeight="false" outlineLevel="0" collapsed="false">
      <c r="A50" s="54" t="s">
        <v>108</v>
      </c>
      <c r="B50" s="55" t="n">
        <v>167</v>
      </c>
      <c r="C50" s="56" t="n">
        <v>28</v>
      </c>
      <c r="D50" s="57" t="s">
        <v>109</v>
      </c>
      <c r="E50" s="196" t="n">
        <v>66</v>
      </c>
      <c r="F50" s="197" t="n">
        <v>45</v>
      </c>
      <c r="G50" s="60" t="s">
        <v>30</v>
      </c>
      <c r="H50" s="198" t="s">
        <v>110</v>
      </c>
      <c r="I50" s="62" t="n">
        <v>0.16</v>
      </c>
      <c r="J50" s="63" t="n">
        <v>45</v>
      </c>
      <c r="K50" s="199" t="s">
        <v>26</v>
      </c>
      <c r="L50" s="62" t="n">
        <v>7</v>
      </c>
      <c r="M50" s="64" t="s">
        <v>86</v>
      </c>
      <c r="N50" s="62" t="s">
        <v>32</v>
      </c>
      <c r="O50" s="200" t="n">
        <v>44119</v>
      </c>
      <c r="P50" s="66" t="n">
        <v>499</v>
      </c>
      <c r="Q50" s="66" t="s">
        <v>111</v>
      </c>
      <c r="R50" s="68" t="s">
        <v>33</v>
      </c>
      <c r="S50" s="68" t="s">
        <v>33</v>
      </c>
      <c r="T50" s="68" t="s">
        <v>33</v>
      </c>
      <c r="U50" s="118" t="s">
        <v>33</v>
      </c>
      <c r="V50" s="69"/>
    </row>
    <row r="51" customFormat="false" ht="15.75" hidden="false" customHeight="true" outlineLevel="0" collapsed="false">
      <c r="A51" s="113" t="str">
        <f aca="false">HYPERLINK("https://phillipreeve.net/blog/review-sigma-35mm-1-2-art-dg-dn/","Sigma Art 1.2/35")</f>
        <v>Sigma Art 1.2/35</v>
      </c>
      <c r="B51" s="40" t="n">
        <v>1090</v>
      </c>
      <c r="C51" s="41" t="n">
        <v>35</v>
      </c>
      <c r="D51" s="201" t="n">
        <v>1.2</v>
      </c>
      <c r="E51" s="133" t="n">
        <v>88</v>
      </c>
      <c r="F51" s="139" t="n">
        <v>136</v>
      </c>
      <c r="G51" s="47" t="s">
        <v>30</v>
      </c>
      <c r="H51" s="202" t="s">
        <v>52</v>
      </c>
      <c r="I51" s="47" t="n">
        <v>0.19</v>
      </c>
      <c r="J51" s="48" t="n">
        <v>30</v>
      </c>
      <c r="K51" s="45" t="s">
        <v>26</v>
      </c>
      <c r="L51" s="47" t="n">
        <v>11</v>
      </c>
      <c r="M51" s="79" t="n">
        <v>43816</v>
      </c>
      <c r="N51" s="47" t="s">
        <v>43</v>
      </c>
      <c r="O51" s="50" t="n">
        <v>43647</v>
      </c>
      <c r="P51" s="51" t="n">
        <v>1499</v>
      </c>
      <c r="Q51" s="51" t="n">
        <v>1000</v>
      </c>
      <c r="R51" s="52" t="str">
        <f aca="false">HYPERLINK("https://amzn.to/2LiHhxc","link*")</f>
        <v>link*</v>
      </c>
      <c r="S51" s="52" t="str">
        <f aca="false">HYPERLINK("https://www.bhphotovideo.com/c/product/1492967-REG/sigma_341969_35mm_f_1_2_dg_dn.html/BI/19619/KBID/12129/DFF/d10-v21-t1-x976038/SID/EZ","link*")</f>
        <v>link*</v>
      </c>
      <c r="T51" s="140"/>
      <c r="U51" s="52"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52" customFormat="false" ht="15.75" hidden="false" customHeight="false" outlineLevel="0" collapsed="false">
      <c r="A52" s="39" t="s">
        <v>112</v>
      </c>
      <c r="B52" s="40" t="n">
        <v>387</v>
      </c>
      <c r="C52" s="41" t="n">
        <v>35</v>
      </c>
      <c r="D52" s="42" t="n">
        <v>1.2</v>
      </c>
      <c r="E52" s="133" t="n">
        <v>66.5</v>
      </c>
      <c r="F52" s="139" t="n">
        <v>59.9</v>
      </c>
      <c r="G52" s="47" t="s">
        <v>24</v>
      </c>
      <c r="H52" s="46" t="s">
        <v>48</v>
      </c>
      <c r="I52" s="47" t="n">
        <f aca="false">1/5.55</f>
        <v>0.1801801802</v>
      </c>
      <c r="J52" s="48" t="n">
        <v>30</v>
      </c>
      <c r="K52" s="45" t="s">
        <v>26</v>
      </c>
      <c r="L52" s="47" t="n">
        <v>12</v>
      </c>
      <c r="M52" s="79" t="n">
        <v>44021</v>
      </c>
      <c r="N52" s="47" t="s">
        <v>28</v>
      </c>
      <c r="O52" s="50" t="n">
        <v>43978</v>
      </c>
      <c r="P52" s="51" t="n">
        <v>999</v>
      </c>
      <c r="Q52" s="51" t="s">
        <v>36</v>
      </c>
      <c r="R52" s="53" t="s">
        <v>33</v>
      </c>
      <c r="S52" s="53" t="s">
        <v>33</v>
      </c>
      <c r="T52" s="140" t="s">
        <v>33</v>
      </c>
      <c r="U52" s="52"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53" customFormat="false" ht="15.75" hidden="false" customHeight="false" outlineLevel="0" collapsed="false">
      <c r="A53" s="39" t="s">
        <v>113</v>
      </c>
      <c r="B53" s="40" t="n">
        <v>524</v>
      </c>
      <c r="C53" s="41" t="n">
        <v>35</v>
      </c>
      <c r="D53" s="42" t="n">
        <v>1.4</v>
      </c>
      <c r="E53" s="133" t="n">
        <v>76</v>
      </c>
      <c r="F53" s="139" t="n">
        <v>96</v>
      </c>
      <c r="G53" s="47" t="s">
        <v>30</v>
      </c>
      <c r="H53" s="46" t="s">
        <v>54</v>
      </c>
      <c r="I53" s="47" t="n">
        <v>0.23</v>
      </c>
      <c r="J53" s="48" t="n">
        <v>27</v>
      </c>
      <c r="K53" s="45" t="s">
        <v>26</v>
      </c>
      <c r="L53" s="47" t="n">
        <v>11</v>
      </c>
      <c r="M53" s="79" t="n">
        <v>44483</v>
      </c>
      <c r="N53" s="47" t="s">
        <v>32</v>
      </c>
      <c r="O53" s="50" t="n">
        <v>44242</v>
      </c>
      <c r="P53" s="51" t="n">
        <v>1399</v>
      </c>
      <c r="Q53" s="51" t="s">
        <v>36</v>
      </c>
      <c r="R53" s="53"/>
      <c r="S53" s="53" t="s">
        <v>33</v>
      </c>
      <c r="T53" s="140"/>
      <c r="U53" s="140"/>
    </row>
    <row r="54" customFormat="false" ht="15.75" hidden="false" customHeight="false" outlineLevel="0" collapsed="false">
      <c r="A54" s="80" t="s">
        <v>114</v>
      </c>
      <c r="B54" s="81" t="n">
        <v>640</v>
      </c>
      <c r="C54" s="82" t="n">
        <v>35</v>
      </c>
      <c r="D54" s="83" t="n">
        <v>1.4</v>
      </c>
      <c r="E54" s="133" t="n">
        <v>75.5</v>
      </c>
      <c r="F54" s="134" t="n">
        <v>111.5</v>
      </c>
      <c r="G54" s="86" t="s">
        <v>30</v>
      </c>
      <c r="H54" s="87" t="s">
        <v>54</v>
      </c>
      <c r="I54" s="203" t="n">
        <f aca="false">1/5.4</f>
        <v>0.1851851852</v>
      </c>
      <c r="J54" s="88" t="n">
        <v>30</v>
      </c>
      <c r="K54" s="89" t="s">
        <v>26</v>
      </c>
      <c r="L54" s="86" t="n">
        <v>11</v>
      </c>
      <c r="M54" s="122" t="n">
        <v>44515</v>
      </c>
      <c r="N54" s="86" t="s">
        <v>43</v>
      </c>
      <c r="O54" s="91" t="n">
        <v>44317</v>
      </c>
      <c r="P54" s="92" t="n">
        <v>899</v>
      </c>
      <c r="Q54" s="92"/>
      <c r="R54" s="94"/>
      <c r="S54" s="94"/>
      <c r="T54" s="94"/>
      <c r="U54" s="94"/>
      <c r="V54" s="69" t="s">
        <v>115</v>
      </c>
    </row>
    <row r="55" customFormat="false" ht="15.75" hidden="false" customHeight="false" outlineLevel="0" collapsed="false">
      <c r="A55" s="128" t="str">
        <f aca="false">HYPERLINK("https://phillipreeve.net/blog/review-sony-fe-35mm-1-4-za/","Sony ZA 1.4/35")</f>
        <v>Sony ZA 1.4/35</v>
      </c>
      <c r="B55" s="81" t="n">
        <v>630</v>
      </c>
      <c r="C55" s="82" t="n">
        <v>35</v>
      </c>
      <c r="D55" s="83" t="n">
        <v>1.4</v>
      </c>
      <c r="E55" s="133" t="n">
        <v>79</v>
      </c>
      <c r="F55" s="139" t="n">
        <v>112</v>
      </c>
      <c r="G55" s="86" t="s">
        <v>30</v>
      </c>
      <c r="H55" s="87" t="s">
        <v>49</v>
      </c>
      <c r="I55" s="86" t="n">
        <v>0.18</v>
      </c>
      <c r="J55" s="88" t="n">
        <v>30</v>
      </c>
      <c r="K55" s="89" t="s">
        <v>26</v>
      </c>
      <c r="L55" s="86" t="n">
        <v>9</v>
      </c>
      <c r="M55" s="122" t="n">
        <v>43689</v>
      </c>
      <c r="N55" s="86" t="s">
        <v>32</v>
      </c>
      <c r="O55" s="91" t="n">
        <v>42064</v>
      </c>
      <c r="P55" s="92" t="n">
        <v>1599</v>
      </c>
      <c r="Q55" s="92" t="n">
        <v>800</v>
      </c>
      <c r="R55" s="93" t="str">
        <f aca="false">HYPERLINK("https://amzn.to/2LRSMOS","link*")</f>
        <v>link*</v>
      </c>
      <c r="S55" s="93" t="str">
        <f aca="false">HYPERLINK("https://www.bhphotovideo.com/c/product/1126137-REG/sony_sel35f14z_distagon_t_fe_35mm.html/BI/19619/KBID/12129/DFF/d10-v21-t1-x612725/SID/EZ","link*")</f>
        <v>link*</v>
      </c>
      <c r="T55" s="93" t="str">
        <f aca="false">HYPERLINK("https://amzn.to/2ZmfSnX","link*")</f>
        <v>link*</v>
      </c>
      <c r="U55" s="93"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56" customFormat="false" ht="15.75" hidden="false" customHeight="false" outlineLevel="0" collapsed="false">
      <c r="A56" s="128" t="str">
        <f aca="false">HYPERLINK("https://phillipreeve.net/blog/review-samyang-af-35-1-4-fe/","Samyang 1.4/35")</f>
        <v>Samyang 1.4/35</v>
      </c>
      <c r="B56" s="81" t="n">
        <v>645</v>
      </c>
      <c r="C56" s="82" t="n">
        <v>35</v>
      </c>
      <c r="D56" s="83" t="n">
        <v>1.4</v>
      </c>
      <c r="E56" s="133" t="n">
        <v>76</v>
      </c>
      <c r="F56" s="134" t="n">
        <v>115</v>
      </c>
      <c r="G56" s="86" t="s">
        <v>30</v>
      </c>
      <c r="H56" s="87" t="s">
        <v>54</v>
      </c>
      <c r="I56" s="86" t="n">
        <v>0.17</v>
      </c>
      <c r="J56" s="88" t="n">
        <v>30</v>
      </c>
      <c r="K56" s="89" t="s">
        <v>26</v>
      </c>
      <c r="L56" s="86" t="n">
        <v>9</v>
      </c>
      <c r="M56" s="122" t="n">
        <v>43719</v>
      </c>
      <c r="N56" s="86" t="s">
        <v>47</v>
      </c>
      <c r="O56" s="91" t="n">
        <v>43009</v>
      </c>
      <c r="P56" s="92" t="n">
        <v>599</v>
      </c>
      <c r="Q56" s="92" t="n">
        <v>375</v>
      </c>
      <c r="R56" s="93" t="str">
        <f aca="false">HYPERLINK("https://amzn.to/2K8DDXH","link*")</f>
        <v>link*</v>
      </c>
      <c r="S56" s="93" t="str">
        <f aca="false">HYPERLINK("https://www.bhphotovideo.com/c/product/1373698-REG/samyang_syio3514_e_35mm_f1_4_auto_focus.html/BI/19619/KBID/12129/DFF/d10-v21-t1-x858016/SID/EZ","link*")</f>
        <v>link*</v>
      </c>
      <c r="T56" s="93" t="str">
        <f aca="false">HYPERLINK("https://amzn.to/2Zhl3FI","link*")</f>
        <v>link*</v>
      </c>
      <c r="U56" s="93"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57" customFormat="false" ht="15.75" hidden="false" customHeight="false" outlineLevel="0" collapsed="false">
      <c r="A57" s="128" t="str">
        <f aca="false">HYPERLINK("https://phillipreeve.net/blog/review-voigtlander-35mm-1-4-nokton-e-classic/","Voigtlander 35mm F1.4 Nokton Classic")</f>
        <v>Voigtlander 35mm F1.4 Nokton Classic</v>
      </c>
      <c r="B57" s="81" t="n">
        <v>262</v>
      </c>
      <c r="C57" s="82" t="n">
        <v>35</v>
      </c>
      <c r="D57" s="83" t="n">
        <v>1.4</v>
      </c>
      <c r="E57" s="133" t="n">
        <v>67</v>
      </c>
      <c r="F57" s="134" t="n">
        <v>40</v>
      </c>
      <c r="G57" s="86" t="s">
        <v>24</v>
      </c>
      <c r="H57" s="87" t="s">
        <v>48</v>
      </c>
      <c r="I57" s="86" t="n">
        <v>0.16</v>
      </c>
      <c r="J57" s="88" t="n">
        <v>30</v>
      </c>
      <c r="K57" s="89" t="s">
        <v>26</v>
      </c>
      <c r="L57" s="86" t="n">
        <v>10</v>
      </c>
      <c r="M57" s="122" t="n">
        <v>43624</v>
      </c>
      <c r="N57" s="86" t="s">
        <v>28</v>
      </c>
      <c r="O57" s="91" t="n">
        <v>43132</v>
      </c>
      <c r="P57" s="92" t="n">
        <v>799</v>
      </c>
      <c r="Q57" s="92" t="n">
        <v>450</v>
      </c>
      <c r="R57" s="93" t="str">
        <f aca="false">HYPERLINK("https://amzn.to/2M1M8WH","link*")</f>
        <v>link*</v>
      </c>
      <c r="S57" s="93" t="str">
        <f aca="false">HYPERLINK("https://www.bhphotovideo.com/c/product/1381712-REG/voigtlander_nokton_classic_35mm_f_1_4.html/BI/19619/KBID/12129/DFF/d10-v21-t1-x877353/SID/EZ","link*")</f>
        <v>link*</v>
      </c>
      <c r="T57" s="93" t="str">
        <f aca="false">HYPERLINK("https://amzn.to/2ZswTZ3","link*")</f>
        <v>link*</v>
      </c>
      <c r="U57" s="93"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58" customFormat="false" ht="15.75" hidden="false" customHeight="true" outlineLevel="0" collapsed="false">
      <c r="A58" s="128" t="str">
        <f aca="false">HYPERLINK("https://phillipreeve.net/blog/review-sigma-35mm-1-4-art/","Sigma Art 1.4/35")</f>
        <v>Sigma Art 1.4/35</v>
      </c>
      <c r="B58" s="81" t="n">
        <v>740</v>
      </c>
      <c r="C58" s="82" t="n">
        <v>35</v>
      </c>
      <c r="D58" s="83" t="n">
        <v>1.4</v>
      </c>
      <c r="E58" s="133" t="n">
        <v>77</v>
      </c>
      <c r="F58" s="134" t="n">
        <v>121</v>
      </c>
      <c r="G58" s="86" t="s">
        <v>30</v>
      </c>
      <c r="H58" s="87" t="s">
        <v>54</v>
      </c>
      <c r="I58" s="86" t="n">
        <v>0.19</v>
      </c>
      <c r="J58" s="88" t="n">
        <v>30</v>
      </c>
      <c r="K58" s="89" t="s">
        <v>26</v>
      </c>
      <c r="L58" s="86" t="n">
        <v>9</v>
      </c>
      <c r="M58" s="122" t="n">
        <v>43782</v>
      </c>
      <c r="N58" s="86" t="s">
        <v>43</v>
      </c>
      <c r="O58" s="91" t="n">
        <v>43221</v>
      </c>
      <c r="P58" s="145" t="n">
        <v>899</v>
      </c>
      <c r="Q58" s="145" t="n">
        <v>550</v>
      </c>
      <c r="R58" s="93" t="str">
        <f aca="false">HYPERLINK("https://amzn.to/2LOaQcZ","link*")</f>
        <v>link*</v>
      </c>
      <c r="S58" s="93" t="str">
        <f aca="false">HYPERLINK("https://www.bhphotovideo.com/c/product/1393492-REG/sigma_35mm_f_1_4_dg_hsm.html/BI/19619/KBID/12129/DFF/d10-v21-t1-x881157/SID/EZ","link*")</f>
        <v>link*</v>
      </c>
      <c r="T58" s="93" t="str">
        <f aca="false">HYPERLINK("https://amzn.to/2ZrfakE","link*")</f>
        <v>link*</v>
      </c>
      <c r="U58" s="93"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59" customFormat="false" ht="15.75" hidden="false" customHeight="false" outlineLevel="0" collapsed="false">
      <c r="A59" s="128" t="str">
        <f aca="false">HYPERLINK("https://phillipreeve.net/blog/review-sony-fe-35mm-f1-8/","Sony FE 1.8/35")</f>
        <v>Sony FE 1.8/35</v>
      </c>
      <c r="B59" s="81" t="n">
        <v>280</v>
      </c>
      <c r="C59" s="82" t="n">
        <v>35</v>
      </c>
      <c r="D59" s="83" t="n">
        <v>1.8</v>
      </c>
      <c r="E59" s="133" t="n">
        <v>66</v>
      </c>
      <c r="F59" s="134" t="n">
        <v>73</v>
      </c>
      <c r="G59" s="86" t="s">
        <v>30</v>
      </c>
      <c r="H59" s="87" t="s">
        <v>78</v>
      </c>
      <c r="I59" s="203" t="n">
        <v>0.24</v>
      </c>
      <c r="J59" s="88" t="n">
        <v>22</v>
      </c>
      <c r="K59" s="89" t="s">
        <v>26</v>
      </c>
      <c r="L59" s="86" t="n">
        <v>9</v>
      </c>
      <c r="M59" s="122" t="n">
        <v>43719</v>
      </c>
      <c r="N59" s="86" t="s">
        <v>32</v>
      </c>
      <c r="O59" s="91" t="n">
        <v>43647</v>
      </c>
      <c r="P59" s="92" t="n">
        <v>749</v>
      </c>
      <c r="Q59" s="92" t="n">
        <v>600</v>
      </c>
      <c r="R59" s="93" t="str">
        <f aca="false">HYPERLINK("https://amzn.to/31HFLMg","link*")</f>
        <v>link*</v>
      </c>
      <c r="S59" s="93" t="str">
        <f aca="false">HYPERLINK("https://www.bhphotovideo.com/c/product/1492866-REG/sony_sel35f18f_35mm_f_1_8_fe_lens.html/BI/19619/KBID/12129/DFF/d10-v21-t1-x975763/SID/EZ","link*")</f>
        <v>link*</v>
      </c>
      <c r="T59" s="93" t="str">
        <f aca="false">HYPERLINK("https://amzn.to/2PiATLC","link*")</f>
        <v>link*</v>
      </c>
      <c r="U59" s="93"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60" customFormat="false" ht="15.75" hidden="false" customHeight="false" outlineLevel="0" collapsed="false">
      <c r="A60" s="80" t="s">
        <v>116</v>
      </c>
      <c r="B60" s="81" t="n">
        <v>210</v>
      </c>
      <c r="C60" s="82" t="n">
        <v>35</v>
      </c>
      <c r="D60" s="83" t="n">
        <v>1.8</v>
      </c>
      <c r="E60" s="133" t="n">
        <v>65</v>
      </c>
      <c r="F60" s="134" t="n">
        <v>62.5</v>
      </c>
      <c r="G60" s="86" t="s">
        <v>30</v>
      </c>
      <c r="H60" s="87" t="s">
        <v>48</v>
      </c>
      <c r="I60" s="203" t="n">
        <v>0.17</v>
      </c>
      <c r="J60" s="88" t="n">
        <v>29</v>
      </c>
      <c r="K60" s="89" t="s">
        <v>26</v>
      </c>
      <c r="L60" s="86" t="n">
        <v>9</v>
      </c>
      <c r="M60" s="122" t="n">
        <v>44053</v>
      </c>
      <c r="N60" s="86" t="s">
        <v>47</v>
      </c>
      <c r="O60" s="91" t="n">
        <v>44105</v>
      </c>
      <c r="P60" s="92" t="n">
        <v>399</v>
      </c>
      <c r="Q60" s="92" t="s">
        <v>36</v>
      </c>
      <c r="R60" s="137" t="s">
        <v>33</v>
      </c>
      <c r="S60" s="137" t="s">
        <v>33</v>
      </c>
      <c r="T60" s="137" t="s">
        <v>33</v>
      </c>
      <c r="U60" s="94"/>
    </row>
    <row r="61" customFormat="false" ht="15.75" hidden="false" customHeight="false" outlineLevel="0" collapsed="false">
      <c r="A61" s="128" t="str">
        <f aca="false">HYPERLINK("https://phillipreeve.net/blog/review-zeiss-loxia-35mm-2-0/","Zeiss Loxia 2/35 Biogon T*")</f>
        <v>Zeiss Loxia 2/35 Biogon T*</v>
      </c>
      <c r="B61" s="81" t="n">
        <v>340</v>
      </c>
      <c r="C61" s="82" t="n">
        <v>35</v>
      </c>
      <c r="D61" s="83" t="n">
        <v>2</v>
      </c>
      <c r="E61" s="133" t="n">
        <v>62</v>
      </c>
      <c r="F61" s="139" t="n">
        <v>66</v>
      </c>
      <c r="G61" s="86" t="s">
        <v>24</v>
      </c>
      <c r="H61" s="87" t="s">
        <v>73</v>
      </c>
      <c r="I61" s="86" t="n">
        <v>0.17</v>
      </c>
      <c r="J61" s="88" t="n">
        <v>30</v>
      </c>
      <c r="K61" s="89" t="s">
        <v>26</v>
      </c>
      <c r="L61" s="86" t="n">
        <v>10</v>
      </c>
      <c r="M61" s="122" t="n">
        <v>43625</v>
      </c>
      <c r="N61" s="86" t="s">
        <v>59</v>
      </c>
      <c r="O61" s="91" t="n">
        <v>41974</v>
      </c>
      <c r="P61" s="92" t="n">
        <v>1299</v>
      </c>
      <c r="Q61" s="92" t="n">
        <v>490</v>
      </c>
      <c r="R61" s="93" t="str">
        <f aca="false">HYPERLINK("https://amzn.to/2T2sJWe","link*")</f>
        <v>link*</v>
      </c>
      <c r="S61" s="93" t="str">
        <f aca="false">HYPERLINK("https://www.bhphotovideo.com/c/product/1080388-REG/zeiss_2103_749_loxia_35mm_f_2_biogon.html/BI/19619/KBID/12129/DFF/d10-v21-t1-x553792/SID/EZ","link*")</f>
        <v>link*</v>
      </c>
      <c r="T61" s="94"/>
      <c r="U61" s="93"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62" customFormat="false" ht="15.75" hidden="false" customHeight="false" outlineLevel="0" collapsed="false">
      <c r="A62" s="160" t="s">
        <v>117</v>
      </c>
      <c r="B62" s="161" t="n">
        <v>325</v>
      </c>
      <c r="C62" s="162" t="n">
        <v>35</v>
      </c>
      <c r="D62" s="163" t="n">
        <v>2</v>
      </c>
      <c r="E62" s="164" t="n">
        <v>70</v>
      </c>
      <c r="F62" s="165" t="s">
        <v>54</v>
      </c>
      <c r="G62" s="166" t="s">
        <v>30</v>
      </c>
      <c r="H62" s="167" t="s">
        <v>48</v>
      </c>
      <c r="I62" s="168" t="n">
        <v>0.18</v>
      </c>
      <c r="J62" s="169" t="s">
        <v>118</v>
      </c>
      <c r="K62" s="170" t="s">
        <v>26</v>
      </c>
      <c r="L62" s="167" t="n">
        <v>9</v>
      </c>
      <c r="M62" s="171" t="n">
        <v>44084</v>
      </c>
      <c r="N62" s="166" t="s">
        <v>43</v>
      </c>
      <c r="O62" s="172" t="n">
        <v>44196</v>
      </c>
      <c r="P62" s="173" t="n">
        <v>639</v>
      </c>
      <c r="Q62" s="92"/>
      <c r="R62" s="137" t="s">
        <v>33</v>
      </c>
      <c r="S62" s="137" t="s">
        <v>33</v>
      </c>
      <c r="T62" s="94"/>
      <c r="U62" s="137" t="s">
        <v>33</v>
      </c>
      <c r="V62" s="69"/>
    </row>
    <row r="63" customFormat="false" ht="15.75" hidden="false" customHeight="false" outlineLevel="0" collapsed="false">
      <c r="A63" s="80" t="s">
        <v>119</v>
      </c>
      <c r="B63" s="81" t="n">
        <v>352</v>
      </c>
      <c r="C63" s="82" t="n">
        <v>35</v>
      </c>
      <c r="D63" s="83" t="n">
        <v>2</v>
      </c>
      <c r="E63" s="133" t="n">
        <v>62.6</v>
      </c>
      <c r="F63" s="139" t="n">
        <v>67.3</v>
      </c>
      <c r="G63" s="86" t="s">
        <v>24</v>
      </c>
      <c r="H63" s="87" t="s">
        <v>80</v>
      </c>
      <c r="I63" s="86" t="n">
        <v>0.154</v>
      </c>
      <c r="J63" s="88" t="n">
        <v>35</v>
      </c>
      <c r="K63" s="89" t="s">
        <v>26</v>
      </c>
      <c r="L63" s="86" t="n">
        <v>12</v>
      </c>
      <c r="M63" s="122" t="n">
        <v>44450</v>
      </c>
      <c r="N63" s="86" t="s">
        <v>28</v>
      </c>
      <c r="O63" s="91" t="n">
        <v>44301</v>
      </c>
      <c r="P63" s="92" t="s">
        <v>120</v>
      </c>
      <c r="Q63" s="92" t="s">
        <v>36</v>
      </c>
      <c r="R63" s="94"/>
      <c r="S63" s="137"/>
      <c r="T63" s="94"/>
      <c r="U63" s="94"/>
      <c r="V63" s="69"/>
    </row>
    <row r="64" customFormat="false" ht="15.75" hidden="false" customHeight="false" outlineLevel="0" collapsed="false">
      <c r="A64" s="204" t="s">
        <v>121</v>
      </c>
      <c r="B64" s="81" t="n">
        <v>295</v>
      </c>
      <c r="C64" s="82" t="n">
        <v>35</v>
      </c>
      <c r="D64" s="83" t="n">
        <v>2</v>
      </c>
      <c r="E64" s="133" t="n">
        <v>67</v>
      </c>
      <c r="F64" s="139" t="n">
        <v>72</v>
      </c>
      <c r="G64" s="86" t="s">
        <v>30</v>
      </c>
      <c r="H64" s="87" t="s">
        <v>73</v>
      </c>
      <c r="I64" s="86" t="n">
        <v>0.13</v>
      </c>
      <c r="J64" s="88" t="n">
        <v>35</v>
      </c>
      <c r="K64" s="89" t="s">
        <v>26</v>
      </c>
      <c r="L64" s="86" t="n">
        <v>7</v>
      </c>
      <c r="M64" s="122" t="n">
        <v>44417</v>
      </c>
      <c r="N64" s="86" t="s">
        <v>122</v>
      </c>
      <c r="O64" s="91" t="n">
        <v>44127</v>
      </c>
      <c r="P64" s="92" t="n">
        <v>235</v>
      </c>
      <c r="Q64" s="92" t="s">
        <v>36</v>
      </c>
      <c r="S64" s="137" t="s">
        <v>33</v>
      </c>
      <c r="T64" s="94"/>
      <c r="U64" s="94"/>
      <c r="V64" s="69"/>
    </row>
    <row r="65" customFormat="false" ht="15.75" hidden="false" customHeight="false" outlineLevel="0" collapsed="false">
      <c r="A65" s="143" t="s">
        <v>123</v>
      </c>
      <c r="B65" s="178" t="n">
        <v>1165</v>
      </c>
      <c r="C65" s="82" t="n">
        <v>35</v>
      </c>
      <c r="D65" s="83" t="n">
        <v>2</v>
      </c>
      <c r="E65" s="133" t="n">
        <v>89.2</v>
      </c>
      <c r="F65" s="139" t="n">
        <v>158</v>
      </c>
      <c r="G65" s="86" t="s">
        <v>30</v>
      </c>
      <c r="H65" s="87" t="s">
        <v>52</v>
      </c>
      <c r="I65" s="86"/>
      <c r="J65" s="88" t="n">
        <v>33</v>
      </c>
      <c r="K65" s="89" t="s">
        <v>26</v>
      </c>
      <c r="L65" s="86" t="n">
        <v>9</v>
      </c>
      <c r="M65" s="90" t="s">
        <v>124</v>
      </c>
      <c r="N65" s="86" t="s">
        <v>56</v>
      </c>
      <c r="O65" s="91" t="n">
        <v>44561</v>
      </c>
      <c r="P65" s="92" t="n">
        <v>1899</v>
      </c>
      <c r="Q65" s="92"/>
      <c r="S65" s="137" t="s">
        <v>33</v>
      </c>
      <c r="T65" s="94"/>
      <c r="U65" s="94"/>
      <c r="V65" s="69"/>
    </row>
    <row r="66" customFormat="false" ht="15.75" hidden="false" customHeight="false" outlineLevel="0" collapsed="false">
      <c r="A66" s="128" t="str">
        <f aca="false">HYPERLINK("http://www.photozone.de/sonyalphaff/865-zeiss35f28ff","Sony ZA 2.8/35")</f>
        <v>Sony ZA 2.8/35</v>
      </c>
      <c r="B66" s="81" t="n">
        <v>120</v>
      </c>
      <c r="C66" s="82" t="n">
        <v>35</v>
      </c>
      <c r="D66" s="83" t="n">
        <v>2.8</v>
      </c>
      <c r="E66" s="133" t="n">
        <v>62</v>
      </c>
      <c r="F66" s="139" t="n">
        <v>37</v>
      </c>
      <c r="G66" s="86" t="s">
        <v>30</v>
      </c>
      <c r="H66" s="87" t="s">
        <v>80</v>
      </c>
      <c r="I66" s="86" t="n">
        <v>0.12</v>
      </c>
      <c r="J66" s="88" t="n">
        <v>35</v>
      </c>
      <c r="K66" s="89" t="s">
        <v>26</v>
      </c>
      <c r="L66" s="86" t="n">
        <v>9</v>
      </c>
      <c r="M66" s="122" t="n">
        <v>43592</v>
      </c>
      <c r="N66" s="86" t="s">
        <v>32</v>
      </c>
      <c r="O66" s="91" t="n">
        <v>41487</v>
      </c>
      <c r="P66" s="92" t="n">
        <v>798</v>
      </c>
      <c r="Q66" s="92" t="n">
        <v>325</v>
      </c>
      <c r="R66" s="93" t="str">
        <f aca="false">HYPERLINK("https://amzn.to/2yvhL24","link*")</f>
        <v>link*</v>
      </c>
      <c r="S66" s="93" t="str">
        <f aca="false">HYPERLINK("https://www.bhphotovideo.com/c/product/1008123-REG/sony_sel35f28z_sonnar_t_fe_35mm.html/BI/19619/KBID/12129/DFF/d10-v21-t1-x466840/SID/EZ","link*")</f>
        <v>link*</v>
      </c>
      <c r="T66" s="137" t="s">
        <v>33</v>
      </c>
      <c r="U66" s="93"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67" customFormat="false" ht="15.75" hidden="false" customHeight="false" outlineLevel="0" collapsed="false">
      <c r="A67" s="205" t="str">
        <f aca="false">HYPERLINK("https://phillipreeve.net/blog/review-tamron-35mm-f-2-8-di-iii-osd-m12/","Tamron 35mm f/2.8 Di III OSD M1:2")</f>
        <v>Tamron 35mm f/2.8 Di III OSD M1:2</v>
      </c>
      <c r="B67" s="206" t="n">
        <v>210</v>
      </c>
      <c r="C67" s="179" t="n">
        <v>35</v>
      </c>
      <c r="D67" s="180" t="n">
        <v>2.8</v>
      </c>
      <c r="E67" s="207" t="n">
        <v>73</v>
      </c>
      <c r="F67" s="208" t="n">
        <v>64</v>
      </c>
      <c r="G67" s="183" t="s">
        <v>30</v>
      </c>
      <c r="H67" s="184" t="s">
        <v>54</v>
      </c>
      <c r="I67" s="209" t="n">
        <v>0.5</v>
      </c>
      <c r="J67" s="210" t="n">
        <v>15</v>
      </c>
      <c r="K67" s="183" t="s">
        <v>26</v>
      </c>
      <c r="L67" s="184" t="n">
        <v>7</v>
      </c>
      <c r="M67" s="187" t="s">
        <v>61</v>
      </c>
      <c r="N67" s="188" t="s">
        <v>56</v>
      </c>
      <c r="O67" s="91" t="n">
        <v>43796</v>
      </c>
      <c r="P67" s="211" t="n">
        <v>349</v>
      </c>
      <c r="Q67" s="212" t="n">
        <v>225</v>
      </c>
      <c r="R67" s="93" t="str">
        <f aca="false">HYPERLINK("https://amzn.to/2LUF8sR","link*")</f>
        <v>link*</v>
      </c>
      <c r="S67" s="93" t="str">
        <f aca="false">HYPERLINK("https://www.bhphotovideo.com/c/product/1512043-REG/tamron_f035_35mm_f_2_8_di_iii.html/BI/19619/KBID/12129/DFF/d10-v21-t1-x994972/SID/EZ","link*")</f>
        <v>link*</v>
      </c>
      <c r="T67" s="93" t="str">
        <f aca="false">HYPERLINK("https://amzn.to/36BcBQO","link*")</f>
        <v>link*</v>
      </c>
      <c r="U67" s="93"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68" customFormat="false" ht="15.75" hidden="false" customHeight="false" outlineLevel="0" collapsed="false">
      <c r="A68" s="95" t="s">
        <v>125</v>
      </c>
      <c r="B68" s="25" t="n">
        <v>86</v>
      </c>
      <c r="C68" s="26" t="n">
        <v>35</v>
      </c>
      <c r="D68" s="27" t="n">
        <v>2.8</v>
      </c>
      <c r="E68" s="130" t="n">
        <v>62</v>
      </c>
      <c r="F68" s="175" t="n">
        <v>33</v>
      </c>
      <c r="G68" s="32" t="s">
        <v>30</v>
      </c>
      <c r="H68" s="31" t="s">
        <v>80</v>
      </c>
      <c r="I68" s="32" t="n">
        <v>0.12</v>
      </c>
      <c r="J68" s="33" t="n">
        <v>35</v>
      </c>
      <c r="K68" s="30" t="s">
        <v>26</v>
      </c>
      <c r="L68" s="32" t="n">
        <v>9</v>
      </c>
      <c r="M68" s="98" t="n">
        <v>43623</v>
      </c>
      <c r="N68" s="32" t="s">
        <v>47</v>
      </c>
      <c r="O68" s="35" t="n">
        <v>42917</v>
      </c>
      <c r="P68" s="213" t="n">
        <v>399</v>
      </c>
      <c r="Q68" s="213" t="n">
        <v>210</v>
      </c>
      <c r="R68" s="37" t="str">
        <f aca="false">HYPERLINK("https://amzn.to/2MGKrxp","link*")</f>
        <v>link*</v>
      </c>
      <c r="S68" s="37" t="str">
        <f aca="false">HYPERLINK("https://www.bhphotovideo.com/c/product/1348365-REG/samyang_syio35af_e_35mm_f2_8_compact_wide.html/BI/19619/KBID/12129/DFF/d10-v21-t1-x832776/SID/EZ","link*")</f>
        <v>link*</v>
      </c>
      <c r="T68" s="37" t="str">
        <f aca="false">HYPERLINK("https://amzn.to/2rM4SRk","link*")</f>
        <v>link*</v>
      </c>
      <c r="U68" s="37"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68" s="38"/>
    </row>
    <row r="69" customFormat="false" ht="15.75" hidden="false" customHeight="false" outlineLevel="0" collapsed="false">
      <c r="A69" s="113" t="str">
        <f aca="false">HYPERLINK("https://phillipreeve.net/blog/voigtlander-40mm-f1-2-nokton-aspherical-rolling-review/","Voigtlander 40mm F1.2 Nokton Aspherical")</f>
        <v>Voigtlander 40mm F1.2 Nokton Aspherical</v>
      </c>
      <c r="B69" s="40" t="n">
        <v>420</v>
      </c>
      <c r="C69" s="41" t="n">
        <v>40</v>
      </c>
      <c r="D69" s="214" t="n">
        <v>1.2</v>
      </c>
      <c r="E69" s="133" t="n">
        <v>70</v>
      </c>
      <c r="F69" s="139" t="n">
        <v>59</v>
      </c>
      <c r="G69" s="47" t="s">
        <v>24</v>
      </c>
      <c r="H69" s="46" t="s">
        <v>48</v>
      </c>
      <c r="I69" s="47" t="n">
        <v>0.16</v>
      </c>
      <c r="J69" s="48" t="n">
        <v>35</v>
      </c>
      <c r="K69" s="45" t="s">
        <v>26</v>
      </c>
      <c r="L69" s="47" t="n">
        <v>10</v>
      </c>
      <c r="M69" s="79" t="n">
        <v>43624</v>
      </c>
      <c r="N69" s="47" t="s">
        <v>28</v>
      </c>
      <c r="O69" s="50" t="n">
        <v>43040</v>
      </c>
      <c r="P69" s="51" t="n">
        <v>1099</v>
      </c>
      <c r="Q69" s="51" t="n">
        <v>600</v>
      </c>
      <c r="R69" s="52" t="str">
        <f aca="false">HYPERLINK("https://amzn.to/2A412DK","link*")</f>
        <v>link*</v>
      </c>
      <c r="S69" s="52" t="str">
        <f aca="false">HYPERLINK("https://www.bhphotovideo.com/c/product/1362557-REG/voigtlander_nokton_40mm_f_1_2_aspherical.html/BI/19619/KBID/12129/DFF/d10-v21-t1-x851241/SID/EZ","link*")</f>
        <v>link*</v>
      </c>
      <c r="T69" s="140"/>
      <c r="U69" s="52"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70" customFormat="false" ht="15.75" hidden="false" customHeight="false" outlineLevel="0" collapsed="false">
      <c r="A70" s="39" t="s">
        <v>126</v>
      </c>
      <c r="B70" s="40" t="n">
        <v>340</v>
      </c>
      <c r="C70" s="41" t="n">
        <v>40</v>
      </c>
      <c r="D70" s="214" t="n">
        <v>1.2</v>
      </c>
      <c r="E70" s="133" t="n">
        <v>66.5</v>
      </c>
      <c r="F70" s="139" t="n">
        <v>51.9</v>
      </c>
      <c r="G70" s="47" t="s">
        <v>24</v>
      </c>
      <c r="H70" s="46" t="s">
        <v>48</v>
      </c>
      <c r="I70" s="47" t="n">
        <v>0.16</v>
      </c>
      <c r="J70" s="48" t="n">
        <v>35</v>
      </c>
      <c r="K70" s="45" t="s">
        <v>26</v>
      </c>
      <c r="L70" s="47" t="n">
        <v>10</v>
      </c>
      <c r="M70" s="79" t="n">
        <v>43624</v>
      </c>
      <c r="N70" s="47" t="s">
        <v>28</v>
      </c>
      <c r="O70" s="50" t="n">
        <v>44006</v>
      </c>
      <c r="P70" s="51" t="n">
        <v>1099</v>
      </c>
      <c r="Q70" s="51" t="s">
        <v>36</v>
      </c>
      <c r="R70" s="53" t="s">
        <v>33</v>
      </c>
      <c r="S70" s="140"/>
      <c r="T70" s="140"/>
      <c r="U70" s="52"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70" s="69" t="s">
        <v>127</v>
      </c>
    </row>
    <row r="71" customFormat="false" ht="15.75" hidden="false" customHeight="false" outlineLevel="0" collapsed="false">
      <c r="A71" s="128" t="str">
        <f aca="false">HYPERLINK("https://phillipreeve.net/blog/review-sigma-40mm-1-4-art/","Sigma Art 1.4/40")</f>
        <v>Sigma Art 1.4/40</v>
      </c>
      <c r="B71" s="81" t="n">
        <v>1265</v>
      </c>
      <c r="C71" s="82" t="n">
        <v>40</v>
      </c>
      <c r="D71" s="83" t="n">
        <v>1.4</v>
      </c>
      <c r="E71" s="133" t="n">
        <v>88</v>
      </c>
      <c r="F71" s="134" t="n">
        <v>157</v>
      </c>
      <c r="G71" s="86" t="s">
        <v>30</v>
      </c>
      <c r="H71" s="215" t="s">
        <v>52</v>
      </c>
      <c r="I71" s="86" t="n">
        <v>0.15</v>
      </c>
      <c r="J71" s="88" t="n">
        <v>40</v>
      </c>
      <c r="K71" s="89" t="s">
        <v>26</v>
      </c>
      <c r="L71" s="86" t="n">
        <v>9</v>
      </c>
      <c r="M71" s="122" t="n">
        <v>43815</v>
      </c>
      <c r="N71" s="86" t="s">
        <v>43</v>
      </c>
      <c r="O71" s="91" t="n">
        <v>43435</v>
      </c>
      <c r="P71" s="92" t="n">
        <v>1399</v>
      </c>
      <c r="Q71" s="92" t="n">
        <v>800</v>
      </c>
      <c r="R71" s="93" t="str">
        <f aca="false">HYPERLINK("https://amzn.to/2SYXFXq","link*")</f>
        <v>link*</v>
      </c>
      <c r="S71" s="93" t="str">
        <f aca="false">HYPERLINK("https://www.bhphotovideo.com/c/product/1436292-REG/sigma_40mm_f_1_4_dg_hsm.html/BI/19619/KBID/12129/DFF/d10-v21-t1-x925196/SID/EZ","link*")</f>
        <v>link*</v>
      </c>
      <c r="T71" s="137" t="s">
        <v>33</v>
      </c>
      <c r="U71" s="93"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72" customFormat="false" ht="15.75" hidden="false" customHeight="false" outlineLevel="0" collapsed="false">
      <c r="A72" s="216" t="s">
        <v>128</v>
      </c>
      <c r="B72" s="217" t="n">
        <v>173</v>
      </c>
      <c r="C72" s="218" t="n">
        <v>40</v>
      </c>
      <c r="D72" s="219" t="n">
        <v>2.5</v>
      </c>
      <c r="E72" s="220" t="n">
        <v>68</v>
      </c>
      <c r="F72" s="221" t="n">
        <v>45</v>
      </c>
      <c r="G72" s="222" t="s">
        <v>30</v>
      </c>
      <c r="H72" s="223" t="s">
        <v>80</v>
      </c>
      <c r="I72" s="224" t="n">
        <v>0.2</v>
      </c>
      <c r="J72" s="225" t="n">
        <v>28</v>
      </c>
      <c r="K72" s="226" t="s">
        <v>26</v>
      </c>
      <c r="L72" s="224" t="n">
        <v>9</v>
      </c>
      <c r="M72" s="227" t="n">
        <v>44448</v>
      </c>
      <c r="N72" s="156" t="s">
        <v>32</v>
      </c>
      <c r="O72" s="158" t="n">
        <v>44329</v>
      </c>
      <c r="P72" s="228" t="n">
        <v>599</v>
      </c>
      <c r="Q72" s="136"/>
      <c r="R72" s="229"/>
      <c r="S72" s="229"/>
      <c r="T72" s="230"/>
      <c r="U72" s="229"/>
    </row>
    <row r="73" customFormat="false" ht="15.75" hidden="false" customHeight="false" outlineLevel="0" collapsed="false">
      <c r="A73" s="24" t="str">
        <f aca="false">HYPERLINK("https://phillipreeve.net/blog/review-zeiss-batis-2-40-cf/","Zeiss Batis 2/40 CF T*")</f>
        <v>Zeiss Batis 2/40 CF T*</v>
      </c>
      <c r="B73" s="25" t="n">
        <v>361</v>
      </c>
      <c r="C73" s="26" t="n">
        <v>40</v>
      </c>
      <c r="D73" s="27" t="n">
        <v>2</v>
      </c>
      <c r="E73" s="130" t="n">
        <v>91</v>
      </c>
      <c r="F73" s="131" t="n">
        <v>93</v>
      </c>
      <c r="G73" s="32" t="s">
        <v>30</v>
      </c>
      <c r="H73" s="31" t="s">
        <v>54</v>
      </c>
      <c r="I73" s="231" t="n">
        <v>0.3</v>
      </c>
      <c r="J73" s="33" t="n">
        <v>24</v>
      </c>
      <c r="K73" s="30" t="s">
        <v>26</v>
      </c>
      <c r="L73" s="32" t="n">
        <v>9</v>
      </c>
      <c r="M73" s="98" t="n">
        <v>43686</v>
      </c>
      <c r="N73" s="32" t="s">
        <v>59</v>
      </c>
      <c r="O73" s="35" t="n">
        <v>43435</v>
      </c>
      <c r="P73" s="36" t="n">
        <v>1299</v>
      </c>
      <c r="Q73" s="36" t="n">
        <v>870</v>
      </c>
      <c r="R73" s="37" t="str">
        <f aca="false">HYPERLINK("https://amzn.to/2LUN0MF","link*")</f>
        <v>link*</v>
      </c>
      <c r="S73" s="37" t="str">
        <f aca="false">HYPERLINK("https://www.bhphotovideo.com/c/product/1436738-REG/zeiss_000000_2239_137_batis_40mm_f_2_cf.html/BI/19619/KBID/12129/DFF/d10-v21-t1-x915694/SID/EZ","link*")</f>
        <v>link*</v>
      </c>
      <c r="T73" s="118" t="s">
        <v>33</v>
      </c>
      <c r="U73" s="37"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73" s="38"/>
    </row>
    <row r="74" customFormat="false" ht="15.75" hidden="false" customHeight="false" outlineLevel="0" collapsed="false">
      <c r="A74" s="39" t="s">
        <v>129</v>
      </c>
      <c r="B74" s="40" t="n">
        <v>162</v>
      </c>
      <c r="C74" s="41" t="n">
        <v>45</v>
      </c>
      <c r="D74" s="42" t="n">
        <v>1.8</v>
      </c>
      <c r="E74" s="133" t="n">
        <v>62</v>
      </c>
      <c r="F74" s="134" t="n">
        <v>56</v>
      </c>
      <c r="G74" s="47" t="s">
        <v>30</v>
      </c>
      <c r="H74" s="46" t="s">
        <v>80</v>
      </c>
      <c r="I74" s="47" t="n">
        <v>0.12</v>
      </c>
      <c r="J74" s="48" t="n">
        <v>45</v>
      </c>
      <c r="K74" s="45" t="s">
        <v>26</v>
      </c>
      <c r="L74" s="47" t="n">
        <v>9</v>
      </c>
      <c r="M74" s="79" t="n">
        <v>43623</v>
      </c>
      <c r="N74" s="47" t="s">
        <v>47</v>
      </c>
      <c r="O74" s="50" t="n">
        <v>43647</v>
      </c>
      <c r="P74" s="232" t="n">
        <v>399</v>
      </c>
      <c r="Q74" s="232" t="n">
        <v>250</v>
      </c>
      <c r="R74" s="52" t="str">
        <f aca="false">HYPERLINK("https://amzn.to/2YC6MST","link*")</f>
        <v>link*</v>
      </c>
      <c r="S74" s="52" t="str">
        <f aca="false">HYPERLINK("https://www.bhphotovideo.com/c/product/1478738-REG/samyang_af_45mm_f_1_8_fe.html/BI/19619/KBID/12129/DFF/d10-v21-t1-x964329/SID/EZ","link*")</f>
        <v>link*</v>
      </c>
      <c r="T74" s="140" t="s">
        <v>33</v>
      </c>
      <c r="U74" s="52"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75" customFormat="false" ht="15.75" hidden="false" customHeight="false" outlineLevel="0" collapsed="false">
      <c r="A75" s="95" t="s">
        <v>130</v>
      </c>
      <c r="B75" s="25" t="n">
        <v>215</v>
      </c>
      <c r="C75" s="26" t="n">
        <v>45</v>
      </c>
      <c r="D75" s="27" t="n">
        <v>2.8</v>
      </c>
      <c r="E75" s="130" t="n">
        <v>64</v>
      </c>
      <c r="F75" s="175" t="n">
        <v>46</v>
      </c>
      <c r="G75" s="32" t="s">
        <v>30</v>
      </c>
      <c r="H75" s="31" t="s">
        <v>78</v>
      </c>
      <c r="I75" s="233" t="n">
        <v>0.25</v>
      </c>
      <c r="J75" s="33" t="n">
        <v>24</v>
      </c>
      <c r="K75" s="30" t="s">
        <v>26</v>
      </c>
      <c r="L75" s="32" t="n">
        <v>7</v>
      </c>
      <c r="M75" s="98" t="n">
        <v>43654</v>
      </c>
      <c r="N75" s="32" t="s">
        <v>43</v>
      </c>
      <c r="O75" s="35" t="n">
        <v>43647</v>
      </c>
      <c r="P75" s="36" t="n">
        <v>549</v>
      </c>
      <c r="Q75" s="36" t="s">
        <v>36</v>
      </c>
      <c r="R75" s="37" t="str">
        <f aca="false">HYPERLINK("https://amzn.to/2SYEvAX","link*")</f>
        <v>link*</v>
      </c>
      <c r="S75" s="37" t="str">
        <f aca="false">HYPERLINK("https://www.bhphotovideo.com/c/product/1492966-REG/sigma_360965_45mm_f_2_8_dg_dn.html/BI/19619/KBID/12129/DFF/d10-v21-t1-x976020/SID/EZ","link*")</f>
        <v>link*</v>
      </c>
      <c r="T75" s="71" t="s">
        <v>33</v>
      </c>
      <c r="U75" s="37"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75" s="38"/>
    </row>
    <row r="76" customFormat="false" ht="15.75" hidden="false" customHeight="false" outlineLevel="0" collapsed="false">
      <c r="A76" s="54" t="s">
        <v>131</v>
      </c>
      <c r="B76" s="55" t="n">
        <v>778</v>
      </c>
      <c r="C76" s="56" t="n">
        <v>50</v>
      </c>
      <c r="D76" s="234" t="n">
        <v>1.2</v>
      </c>
      <c r="E76" s="196" t="n">
        <v>87</v>
      </c>
      <c r="F76" s="197" t="n">
        <v>108</v>
      </c>
      <c r="G76" s="62" t="s">
        <v>30</v>
      </c>
      <c r="H76" s="61" t="s">
        <v>49</v>
      </c>
      <c r="I76" s="62" t="n">
        <v>0.17</v>
      </c>
      <c r="J76" s="63" t="n">
        <v>40</v>
      </c>
      <c r="K76" s="60" t="s">
        <v>26</v>
      </c>
      <c r="L76" s="62" t="n">
        <v>11</v>
      </c>
      <c r="M76" s="75" t="n">
        <v>44483</v>
      </c>
      <c r="N76" s="62" t="s">
        <v>32</v>
      </c>
      <c r="O76" s="35" t="n">
        <v>44287</v>
      </c>
      <c r="P76" s="66" t="n">
        <v>1999</v>
      </c>
      <c r="Q76" s="66" t="s">
        <v>36</v>
      </c>
      <c r="R76" s="67"/>
      <c r="S76" s="68" t="s">
        <v>33</v>
      </c>
      <c r="T76" s="67"/>
      <c r="U76" s="67"/>
    </row>
    <row r="77" customFormat="false" ht="15.75" hidden="false" customHeight="false" outlineLevel="0" collapsed="false">
      <c r="A77" s="113" t="str">
        <f aca="false">HYPERLINK("https://phillipreeve.net/blog/review-voigtlander-50mm-1-2-nokton-e/","Voigtlander 50mm F1.2 Nokton")</f>
        <v>Voigtlander 50mm F1.2 Nokton</v>
      </c>
      <c r="B77" s="40" t="n">
        <v>440</v>
      </c>
      <c r="C77" s="41" t="n">
        <v>50</v>
      </c>
      <c r="D77" s="214" t="n">
        <v>1.2</v>
      </c>
      <c r="E77" s="133" t="n">
        <v>70</v>
      </c>
      <c r="F77" s="139" t="n">
        <v>58</v>
      </c>
      <c r="G77" s="47" t="s">
        <v>24</v>
      </c>
      <c r="H77" s="46" t="s">
        <v>48</v>
      </c>
      <c r="I77" s="47" t="n">
        <v>0.15</v>
      </c>
      <c r="J77" s="48" t="n">
        <v>45</v>
      </c>
      <c r="K77" s="45" t="s">
        <v>26</v>
      </c>
      <c r="L77" s="47" t="n">
        <v>12</v>
      </c>
      <c r="M77" s="79" t="n">
        <v>43624</v>
      </c>
      <c r="N77" s="47" t="s">
        <v>28</v>
      </c>
      <c r="O77" s="50" t="n">
        <v>43556</v>
      </c>
      <c r="P77" s="51" t="n">
        <v>1099</v>
      </c>
      <c r="Q77" s="51" t="s">
        <v>36</v>
      </c>
      <c r="R77" s="52" t="str">
        <f aca="false">HYPERLINK("https://amzn.to/2OAfE7N","link*")</f>
        <v>link*</v>
      </c>
      <c r="S77" s="52" t="str">
        <f aca="false">HYPERLINK("https://www.bhphotovideo.com/c/product/1433349-REG/voigtlander_ba348a_nokton_50mm_f_1_2_aspherical.html/BI/19619/KBID/12129/DFF/d10-v21-t1-x915623/SID/EZ","link*")</f>
        <v>link*</v>
      </c>
      <c r="T77" s="140" t="s">
        <v>33</v>
      </c>
      <c r="U77" s="52"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78" customFormat="false" ht="15.75" hidden="false" customHeight="false" outlineLevel="0" collapsed="false">
      <c r="A78" s="80" t="s">
        <v>132</v>
      </c>
      <c r="B78" s="81" t="n">
        <v>778</v>
      </c>
      <c r="C78" s="82" t="n">
        <v>50</v>
      </c>
      <c r="D78" s="83" t="n">
        <v>1.4</v>
      </c>
      <c r="E78" s="133" t="n">
        <v>84</v>
      </c>
      <c r="F78" s="139" t="n">
        <v>108</v>
      </c>
      <c r="G78" s="86" t="s">
        <v>30</v>
      </c>
      <c r="H78" s="87" t="s">
        <v>49</v>
      </c>
      <c r="I78" s="86" t="n">
        <v>0.15</v>
      </c>
      <c r="J78" s="88" t="n">
        <v>45</v>
      </c>
      <c r="K78" s="89" t="s">
        <v>26</v>
      </c>
      <c r="L78" s="86" t="n">
        <v>11</v>
      </c>
      <c r="M78" s="122" t="n">
        <v>43720</v>
      </c>
      <c r="N78" s="86" t="s">
        <v>32</v>
      </c>
      <c r="O78" s="91" t="n">
        <v>42583</v>
      </c>
      <c r="P78" s="92" t="n">
        <v>1499</v>
      </c>
      <c r="Q78" s="92" t="n">
        <v>950</v>
      </c>
      <c r="R78" s="93" t="str">
        <f aca="false">HYPERLINK("https://amzn.to/2K88EL7","link*")</f>
        <v>link*</v>
      </c>
      <c r="S78" s="93" t="str">
        <f aca="false">HYPERLINK("https://www.bhphotovideo.com/c/product/1264965-REG/sony_sel50f14z_planar_t_fe_50mm.html/BI/19619/KBID/12129/DFF/d10-v21-t1-x746806/SID/EZ","link*")</f>
        <v>link*</v>
      </c>
      <c r="T78" s="94" t="s">
        <v>33</v>
      </c>
      <c r="U78" s="93"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79" customFormat="false" ht="15.75" hidden="false" customHeight="false" outlineLevel="0" collapsed="false">
      <c r="A79" s="80" t="s">
        <v>133</v>
      </c>
      <c r="B79" s="81" t="n">
        <v>910</v>
      </c>
      <c r="C79" s="82" t="n">
        <v>50</v>
      </c>
      <c r="D79" s="83" t="n">
        <v>1.4</v>
      </c>
      <c r="E79" s="133" t="n">
        <v>85</v>
      </c>
      <c r="F79" s="139" t="n">
        <v>125.9</v>
      </c>
      <c r="G79" s="86" t="s">
        <v>30</v>
      </c>
      <c r="H79" s="87" t="s">
        <v>57</v>
      </c>
      <c r="I79" s="86" t="n">
        <v>0.18</v>
      </c>
      <c r="J79" s="88" t="n">
        <v>40</v>
      </c>
      <c r="K79" s="89" t="s">
        <v>26</v>
      </c>
      <c r="L79" s="86" t="n">
        <v>9</v>
      </c>
      <c r="M79" s="122" t="n">
        <v>43690</v>
      </c>
      <c r="N79" s="86" t="s">
        <v>43</v>
      </c>
      <c r="O79" s="91" t="n">
        <v>43221</v>
      </c>
      <c r="P79" s="92" t="n">
        <v>949</v>
      </c>
      <c r="Q79" s="92" t="n">
        <v>550</v>
      </c>
      <c r="R79" s="93" t="str">
        <f aca="false">HYPERLINK("https://amzn.to/2K4JmyT","link*")</f>
        <v>link*</v>
      </c>
      <c r="S79" s="93" t="str">
        <f aca="false">HYPERLINK("https://www.bhphotovideo.com/c/product/1393493-REG/sigma_50mm_f_1_4_dg_hsm.html/BI/19619/KBID/12129/kw/SI5014SO/DFF/d10-v2-t1-xSI5014SO","link*")</f>
        <v>link*</v>
      </c>
      <c r="T79" s="93" t="str">
        <f aca="false">HYPERLINK("https://amzn.to/2Wpdoz5","link*")</f>
        <v>link*</v>
      </c>
      <c r="U79" s="93"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80" customFormat="false" ht="15.75" hidden="false" customHeight="false" outlineLevel="0" collapsed="false">
      <c r="A80" s="80" t="s">
        <v>134</v>
      </c>
      <c r="B80" s="81" t="n">
        <v>585</v>
      </c>
      <c r="C80" s="82" t="n">
        <v>50</v>
      </c>
      <c r="D80" s="83" t="n">
        <v>1.4</v>
      </c>
      <c r="E80" s="133" t="n">
        <v>74</v>
      </c>
      <c r="F80" s="139" t="n">
        <v>98</v>
      </c>
      <c r="G80" s="86" t="s">
        <v>30</v>
      </c>
      <c r="H80" s="87" t="s">
        <v>54</v>
      </c>
      <c r="I80" s="86" t="n">
        <v>0.15</v>
      </c>
      <c r="J80" s="88" t="n">
        <v>45</v>
      </c>
      <c r="K80" s="89" t="s">
        <v>26</v>
      </c>
      <c r="L80" s="86" t="n">
        <v>9</v>
      </c>
      <c r="M80" s="122" t="n">
        <v>43686</v>
      </c>
      <c r="N80" s="86" t="s">
        <v>47</v>
      </c>
      <c r="O80" s="91" t="n">
        <v>42583</v>
      </c>
      <c r="P80" s="92" t="n">
        <v>699</v>
      </c>
      <c r="Q80" s="92" t="n">
        <v>300</v>
      </c>
      <c r="R80" s="93" t="str">
        <f aca="false">HYPERLINK("https://amzn.to/2SY1Pyr","link*")</f>
        <v>link*</v>
      </c>
      <c r="S80" s="93" t="str">
        <f aca="false">HYPERLINK("https://www.bhphotovideo.com/c/product/1352862-REG/samyang_syio50af_e_50mm_f_1_4_auto_focus.html/BI/19619/KBID/12129/DFF/d10-v21-t1-x837927/SID/EZ","link*")</f>
        <v>link*</v>
      </c>
      <c r="T80" s="94" t="s">
        <v>33</v>
      </c>
      <c r="U80" s="93"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81" customFormat="false" ht="15.75" hidden="false" customHeight="false" outlineLevel="0" collapsed="false">
      <c r="A81" s="128" t="str">
        <f aca="false">HYPERLINK("https://phillipreeve.net/blog/review-sony-fe-1-850/","Sony 50mm F1.8")</f>
        <v>Sony 50mm F1.8</v>
      </c>
      <c r="B81" s="81" t="n">
        <v>186</v>
      </c>
      <c r="C81" s="82" t="n">
        <v>50</v>
      </c>
      <c r="D81" s="83" t="n">
        <v>1.8</v>
      </c>
      <c r="E81" s="133" t="n">
        <v>69</v>
      </c>
      <c r="F81" s="139" t="n">
        <v>60</v>
      </c>
      <c r="G81" s="86" t="s">
        <v>30</v>
      </c>
      <c r="H81" s="87" t="s">
        <v>80</v>
      </c>
      <c r="I81" s="86" t="n">
        <v>0.14</v>
      </c>
      <c r="J81" s="88" t="n">
        <v>45</v>
      </c>
      <c r="K81" s="89" t="s">
        <v>26</v>
      </c>
      <c r="L81" s="86" t="n">
        <v>7</v>
      </c>
      <c r="M81" s="122" t="n">
        <v>43591</v>
      </c>
      <c r="N81" s="86" t="s">
        <v>32</v>
      </c>
      <c r="O81" s="91" t="n">
        <v>42430</v>
      </c>
      <c r="P81" s="145" t="n">
        <v>249</v>
      </c>
      <c r="Q81" s="145" t="n">
        <v>165</v>
      </c>
      <c r="R81" s="93" t="str">
        <f aca="false">HYPERLINK("http://amzn.to/2v2F5Se","link*")</f>
        <v>link*</v>
      </c>
      <c r="S81" s="93" t="str">
        <f aca="false">HYPERLINK("https://www.bhphotovideo.com/c/product/1242613-REG/sony_sel50f18f_fe_50mm_f_1_8_lens.html/BI/19619/KBID/12129/kw/SO5018F/DFF/d10-v2-t1-xSO5018F","link*")</f>
        <v>link*</v>
      </c>
      <c r="T81" s="93" t="str">
        <f aca="false">HYPERLINK("http://amzn.to/2wyHB25","link*")</f>
        <v>link*</v>
      </c>
      <c r="U81" s="93"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82" customFormat="false" ht="15.75" hidden="false" customHeight="false" outlineLevel="0" collapsed="false">
      <c r="A82" s="128" t="str">
        <f aca="false">HYPERLINK("https://docs.google.com/document/d/115s6JHR9S4pBUesKJEkgWeoP8rcGbT31p6fQSg5SFQM/edit?usp=sharing","Voigtlander 50mm F2 APO-Lanthar")</f>
        <v>Voigtlander 50mm F2 APO-Lanthar</v>
      </c>
      <c r="B82" s="81" t="n">
        <v>364</v>
      </c>
      <c r="C82" s="82" t="n">
        <v>50</v>
      </c>
      <c r="D82" s="83" t="n">
        <v>2</v>
      </c>
      <c r="E82" s="133" t="n">
        <v>63</v>
      </c>
      <c r="F82" s="139" t="n">
        <v>61</v>
      </c>
      <c r="G82" s="86" t="s">
        <v>24</v>
      </c>
      <c r="H82" s="87" t="s">
        <v>80</v>
      </c>
      <c r="I82" s="86" t="n">
        <v>0.156</v>
      </c>
      <c r="J82" s="88" t="n">
        <v>45</v>
      </c>
      <c r="K82" s="89" t="s">
        <v>26</v>
      </c>
      <c r="L82" s="86" t="n">
        <v>12</v>
      </c>
      <c r="M82" s="122" t="n">
        <v>43687</v>
      </c>
      <c r="N82" s="86" t="s">
        <v>28</v>
      </c>
      <c r="O82" s="91" t="n">
        <v>43811</v>
      </c>
      <c r="P82" s="92" t="n">
        <v>1049</v>
      </c>
      <c r="Q82" s="92" t="s">
        <v>36</v>
      </c>
      <c r="R82" s="93" t="str">
        <f aca="false">HYPERLINK("https://amzn.to/2uCNQ9n","link*")</f>
        <v>link*</v>
      </c>
      <c r="S82" s="93" t="str">
        <f aca="false">HYPERLINK("https://www.bhphotovideo.com/c/product/1526146-REG/voigtlander_apo_lanthar50_apo_lanthar_50mm_f_2_aspherical.html/BI/19619/KBID/12129/DFF/d10-v21-t1-x1008376/SID/EZ","link*")</f>
        <v>link*</v>
      </c>
      <c r="T82" s="94" t="s">
        <v>33</v>
      </c>
      <c r="U82" s="94"/>
      <c r="V82" s="69"/>
    </row>
    <row r="83" customFormat="false" ht="15.75" hidden="false" customHeight="false" outlineLevel="0" collapsed="false">
      <c r="A83" s="128" t="str">
        <f aca="false">HYPERLINK("https://phillipreeve.net/blog/review-zeiss-loxia-planar-250-t/","Zeiss Loxia 50mm F2")</f>
        <v>Zeiss Loxia 50mm F2</v>
      </c>
      <c r="B83" s="81" t="n">
        <v>320</v>
      </c>
      <c r="C83" s="82" t="n">
        <v>50</v>
      </c>
      <c r="D83" s="83" t="n">
        <v>2</v>
      </c>
      <c r="E83" s="133" t="n">
        <v>62</v>
      </c>
      <c r="F83" s="139" t="n">
        <v>60</v>
      </c>
      <c r="G83" s="86" t="s">
        <v>24</v>
      </c>
      <c r="H83" s="87" t="s">
        <v>73</v>
      </c>
      <c r="I83" s="86" t="n">
        <v>0.15</v>
      </c>
      <c r="J83" s="88" t="n">
        <v>45</v>
      </c>
      <c r="K83" s="89" t="s">
        <v>26</v>
      </c>
      <c r="L83" s="86" t="n">
        <v>10</v>
      </c>
      <c r="M83" s="122" t="n">
        <v>43561</v>
      </c>
      <c r="N83" s="86" t="s">
        <v>59</v>
      </c>
      <c r="O83" s="91" t="n">
        <v>41913</v>
      </c>
      <c r="P83" s="92" t="n">
        <v>949</v>
      </c>
      <c r="Q83" s="92" t="n">
        <v>450</v>
      </c>
      <c r="R83" s="93" t="str">
        <f aca="false">HYPERLINK("http://amzn.to/2faVsIu","link*")</f>
        <v>link*</v>
      </c>
      <c r="S83" s="93" t="str">
        <f aca="false">HYPERLINK("https://www.bhphotovideo.com/c/product/1080387-REG/zeiss_2103_748_loxia_50mm_f_2_planar.html/BI/19619/KBID/12129/kw/ZE502LFE/DFF/d10-v2-t1-xZE502LFE","link*")</f>
        <v>link*</v>
      </c>
      <c r="T83" s="93" t="str">
        <f aca="false">HYPERLINK("http://amzn.to/2wyJAU4","link*")</f>
        <v>link*</v>
      </c>
      <c r="U83" s="93"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84" customFormat="false" ht="15.75" hidden="false" customHeight="false" outlineLevel="0" collapsed="false">
      <c r="A84" s="216" t="s">
        <v>135</v>
      </c>
      <c r="B84" s="217" t="n">
        <v>174</v>
      </c>
      <c r="C84" s="218" t="n">
        <v>50</v>
      </c>
      <c r="D84" s="219" t="n">
        <v>2.5</v>
      </c>
      <c r="E84" s="220" t="n">
        <v>68</v>
      </c>
      <c r="F84" s="221" t="n">
        <v>45</v>
      </c>
      <c r="G84" s="222" t="s">
        <v>30</v>
      </c>
      <c r="H84" s="223" t="s">
        <v>80</v>
      </c>
      <c r="I84" s="224" t="n">
        <v>0.18</v>
      </c>
      <c r="J84" s="225" t="n">
        <v>35</v>
      </c>
      <c r="K84" s="226" t="s">
        <v>26</v>
      </c>
      <c r="L84" s="224" t="n">
        <v>9</v>
      </c>
      <c r="M84" s="227" t="n">
        <v>44448</v>
      </c>
      <c r="N84" s="224" t="s">
        <v>32</v>
      </c>
      <c r="O84" s="235" t="n">
        <v>44343</v>
      </c>
      <c r="P84" s="136" t="n">
        <v>599</v>
      </c>
      <c r="Q84" s="136"/>
      <c r="R84" s="229"/>
      <c r="S84" s="229"/>
      <c r="T84" s="229"/>
      <c r="U84" s="229"/>
    </row>
    <row r="85" customFormat="false" ht="15.75" hidden="false" customHeight="false" outlineLevel="0" collapsed="false">
      <c r="A85" s="24" t="str">
        <f aca="false">HYPERLINK("https://phillipreeve.net/blog/rolling-review-sony-fe-2-850-macro/","Sony 50mm F/2.8 Macro")</f>
        <v>Sony 50mm F/2.8 Macro</v>
      </c>
      <c r="B85" s="25" t="n">
        <v>236</v>
      </c>
      <c r="C85" s="26" t="n">
        <v>50</v>
      </c>
      <c r="D85" s="27" t="n">
        <v>2.8</v>
      </c>
      <c r="E85" s="130" t="n">
        <v>72</v>
      </c>
      <c r="F85" s="175" t="n">
        <v>71</v>
      </c>
      <c r="G85" s="32" t="s">
        <v>30</v>
      </c>
      <c r="H85" s="31" t="s">
        <v>78</v>
      </c>
      <c r="I85" s="236" t="n">
        <v>1</v>
      </c>
      <c r="J85" s="33" t="n">
        <v>16</v>
      </c>
      <c r="K85" s="30" t="s">
        <v>26</v>
      </c>
      <c r="L85" s="32" t="n">
        <v>7</v>
      </c>
      <c r="M85" s="98" t="n">
        <v>43654</v>
      </c>
      <c r="N85" s="32" t="s">
        <v>32</v>
      </c>
      <c r="O85" s="35" t="n">
        <v>42614</v>
      </c>
      <c r="P85" s="237" t="n">
        <v>499</v>
      </c>
      <c r="Q85" s="237" t="n">
        <v>350</v>
      </c>
      <c r="R85" s="37" t="str">
        <f aca="false">HYPERLINK("http://amzn.to/2v2g0qz","link*")</f>
        <v>link*</v>
      </c>
      <c r="S85" s="37" t="str">
        <f aca="false">HYPERLINK("https://www.bhphotovideo.com/c/product/1277527-REG/sony_sel50m28_fe_50mm_f_2_8_macro.html/BI/19619/KBID/12129/kw/SO5028FF/DFF/d10-v2-t1-xSO5028FF","link*")</f>
        <v>link*</v>
      </c>
      <c r="T85" s="37" t="str">
        <f aca="false">HYPERLINK("http://amzn.to/2vbknRN","link*")</f>
        <v>link*</v>
      </c>
      <c r="U85" s="37"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85" s="38"/>
    </row>
    <row r="86" customFormat="false" ht="15.75" hidden="false" customHeight="false" outlineLevel="0" collapsed="false">
      <c r="A86" s="99" t="str">
        <f aca="false">HYPERLINK("https://phillipreeve.net/blog/sony-fe-1-855-za-sonnar-t-review/","Sony ZA 55mm F1.8 Sonnar")</f>
        <v>Sony ZA 55mm F1.8 Sonnar</v>
      </c>
      <c r="B86" s="100" t="n">
        <v>281</v>
      </c>
      <c r="C86" s="101" t="n">
        <v>55</v>
      </c>
      <c r="D86" s="102" t="n">
        <v>1.8</v>
      </c>
      <c r="E86" s="130" t="n">
        <v>64</v>
      </c>
      <c r="F86" s="175" t="n">
        <v>71</v>
      </c>
      <c r="G86" s="107" t="s">
        <v>30</v>
      </c>
      <c r="H86" s="106" t="s">
        <v>80</v>
      </c>
      <c r="I86" s="107" t="n">
        <v>0.14</v>
      </c>
      <c r="J86" s="108" t="n">
        <v>50</v>
      </c>
      <c r="K86" s="105" t="s">
        <v>26</v>
      </c>
      <c r="L86" s="107" t="n">
        <v>9</v>
      </c>
      <c r="M86" s="238" t="n">
        <v>43592</v>
      </c>
      <c r="N86" s="107" t="s">
        <v>32</v>
      </c>
      <c r="O86" s="110" t="n">
        <v>41548</v>
      </c>
      <c r="P86" s="111" t="n">
        <v>999</v>
      </c>
      <c r="Q86" s="111" t="n">
        <v>500</v>
      </c>
      <c r="R86" s="112" t="str">
        <f aca="false">HYPERLINK("https://amzn.to/2ywdgEk","link*")</f>
        <v>link*</v>
      </c>
      <c r="S86" s="112" t="str">
        <f aca="false">HYPERLINK("https://www.bhphotovideo.com/c/product/1008124-REG/sony_sel55f18z_sonnar_t_fe_55mm.html/BI/19619/KBID/12129/DFF/d10-v21-t1-x466841/SID/EZ","link*")</f>
        <v>link*</v>
      </c>
      <c r="T86" s="239" t="s">
        <v>33</v>
      </c>
      <c r="U86" s="112"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86" s="38"/>
    </row>
    <row r="87" customFormat="false" ht="15.75" hidden="false" customHeight="false" outlineLevel="0" collapsed="false">
      <c r="A87" s="99" t="str">
        <f aca="false">HYPERLINK("https://phillipreeve.net/blog/voigtlander-65-f2-apo-macro-review/","Voigtlander Macro 65mm F2 Apo Lanthar")</f>
        <v>Voigtlander Macro 65mm F2 Apo Lanthar</v>
      </c>
      <c r="B87" s="100" t="n">
        <v>635</v>
      </c>
      <c r="C87" s="101" t="n">
        <v>65</v>
      </c>
      <c r="D87" s="102" t="n">
        <v>2</v>
      </c>
      <c r="E87" s="130" t="n">
        <v>78</v>
      </c>
      <c r="F87" s="175" t="n">
        <v>91</v>
      </c>
      <c r="G87" s="107" t="s">
        <v>24</v>
      </c>
      <c r="H87" s="106" t="s">
        <v>54</v>
      </c>
      <c r="I87" s="240" t="n">
        <v>0.5</v>
      </c>
      <c r="J87" s="108" t="n">
        <v>31</v>
      </c>
      <c r="K87" s="105" t="s">
        <v>26</v>
      </c>
      <c r="L87" s="107" t="n">
        <v>10</v>
      </c>
      <c r="M87" s="238" t="n">
        <v>43687</v>
      </c>
      <c r="N87" s="107" t="s">
        <v>28</v>
      </c>
      <c r="O87" s="241" t="n">
        <v>42917</v>
      </c>
      <c r="P87" s="111" t="n">
        <v>999</v>
      </c>
      <c r="Q87" s="111" t="n">
        <v>600</v>
      </c>
      <c r="R87" s="112" t="str">
        <f aca="false">HYPERLINK("https://amzn.to/2LU48SI","link*")</f>
        <v>link*</v>
      </c>
      <c r="S87" s="112" t="str">
        <f aca="false">HYPERLINK("https://www.bhphotovideo.com/c/product/1350400-REG/voigtlander_macro_apo_lanthar_65mm_f2.html/BI/19619/KBID/12129/DFF/d10-v21-t1-x835677/SID/EZ","link*")</f>
        <v>link*</v>
      </c>
      <c r="T87" s="239" t="s">
        <v>33</v>
      </c>
      <c r="U87" s="112"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87" s="38"/>
    </row>
    <row r="88" customFormat="false" ht="15.75" hidden="false" customHeight="false" outlineLevel="0" collapsed="false">
      <c r="A88" s="204" t="s">
        <v>136</v>
      </c>
      <c r="B88" s="55" t="n">
        <v>405</v>
      </c>
      <c r="C88" s="56" t="n">
        <v>65</v>
      </c>
      <c r="D88" s="57" t="n">
        <v>2</v>
      </c>
      <c r="E88" s="196" t="n">
        <v>72</v>
      </c>
      <c r="F88" s="197" t="n">
        <v>76</v>
      </c>
      <c r="G88" s="62" t="s">
        <v>30</v>
      </c>
      <c r="H88" s="61" t="s">
        <v>67</v>
      </c>
      <c r="I88" s="62" t="n">
        <v>0.15</v>
      </c>
      <c r="J88" s="63" t="n">
        <v>55</v>
      </c>
      <c r="K88" s="60" t="s">
        <v>26</v>
      </c>
      <c r="L88" s="62" t="n">
        <v>9</v>
      </c>
      <c r="M88" s="75" t="n">
        <v>44086</v>
      </c>
      <c r="N88" s="62" t="s">
        <v>43</v>
      </c>
      <c r="O88" s="242" t="n">
        <v>44196</v>
      </c>
      <c r="P88" s="66" t="n">
        <v>699</v>
      </c>
      <c r="Q88" s="66"/>
      <c r="R88" s="67"/>
      <c r="S88" s="68" t="s">
        <v>33</v>
      </c>
      <c r="T88" s="67"/>
      <c r="U88" s="67"/>
    </row>
    <row r="89" customFormat="false" ht="15.75" hidden="false" customHeight="false" outlineLevel="0" collapsed="false">
      <c r="A89" s="39" t="s">
        <v>137</v>
      </c>
      <c r="B89" s="40" t="n">
        <v>562</v>
      </c>
      <c r="C89" s="41" t="n">
        <v>70</v>
      </c>
      <c r="D89" s="42" t="n">
        <v>2.8</v>
      </c>
      <c r="E89" s="133" t="n">
        <v>71</v>
      </c>
      <c r="F89" s="139" t="n">
        <v>132</v>
      </c>
      <c r="G89" s="47" t="s">
        <v>30</v>
      </c>
      <c r="H89" s="46" t="s">
        <v>80</v>
      </c>
      <c r="I89" s="243" t="n">
        <v>1</v>
      </c>
      <c r="J89" s="48" t="n">
        <v>26</v>
      </c>
      <c r="K89" s="45" t="s">
        <v>26</v>
      </c>
      <c r="L89" s="47" t="n">
        <v>9</v>
      </c>
      <c r="M89" s="79" t="n">
        <v>43751</v>
      </c>
      <c r="N89" s="47" t="s">
        <v>43</v>
      </c>
      <c r="O89" s="50" t="n">
        <v>43221</v>
      </c>
      <c r="P89" s="244" t="n">
        <v>569</v>
      </c>
      <c r="Q89" s="244" t="n">
        <v>400</v>
      </c>
      <c r="R89" s="52" t="str">
        <f aca="false">HYPERLINK("https://amzn.to/2YGO9te","link*")</f>
        <v>link*</v>
      </c>
      <c r="S89" s="52" t="str">
        <f aca="false">HYPERLINK("https://www.bhphotovideo.com/c/product/1393483-REG/sigma_70mm_f_2_8_dg_macro.html/BI/19619/KBID/12129/DFF/d10-v21-t1-x895111/SID/EZ","link*")</f>
        <v>link*</v>
      </c>
      <c r="T89" s="53" t="s">
        <v>33</v>
      </c>
      <c r="U89" s="52"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90" customFormat="false" ht="15.75" hidden="false" customHeight="false" outlineLevel="0" collapsed="false">
      <c r="A90" s="245" t="s">
        <v>138</v>
      </c>
      <c r="B90" s="81" t="n">
        <v>1480</v>
      </c>
      <c r="C90" s="82" t="n">
        <v>70</v>
      </c>
      <c r="D90" s="83" t="n">
        <v>2.8</v>
      </c>
      <c r="E90" s="133" t="n">
        <v>88</v>
      </c>
      <c r="F90" s="139" t="n">
        <v>200</v>
      </c>
      <c r="G90" s="86" t="s">
        <v>30</v>
      </c>
      <c r="H90" s="87" t="s">
        <v>57</v>
      </c>
      <c r="I90" s="203" t="n">
        <v>0.25</v>
      </c>
      <c r="J90" s="88" t="n">
        <v>96</v>
      </c>
      <c r="K90" s="174" t="s">
        <v>50</v>
      </c>
      <c r="L90" s="86" t="n">
        <v>11</v>
      </c>
      <c r="M90" s="90" t="s">
        <v>139</v>
      </c>
      <c r="N90" s="86" t="s">
        <v>32</v>
      </c>
      <c r="O90" s="91" t="n">
        <v>42401</v>
      </c>
      <c r="P90" s="92" t="n">
        <v>2599</v>
      </c>
      <c r="Q90" s="92" t="n">
        <v>1900</v>
      </c>
      <c r="R90" s="93" t="str">
        <f aca="false">HYPERLINK("https://amzn.to/2KbaJGn","link*")</f>
        <v>link*</v>
      </c>
      <c r="S90" s="93" t="str">
        <f aca="false">HYPERLINK("https://www.bhphotovideo.com/c/product/1222776-REG/sony_sel70200gm_fe_70_200mm_f_2_8_gm.html/BI/19619/KBID/12129/DFF/d10-v21-t1-x746807/SID/EZ","link*")</f>
        <v>link*</v>
      </c>
      <c r="T90" s="94" t="s">
        <v>33</v>
      </c>
      <c r="U90" s="93"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91" customFormat="false" ht="15.75" hidden="false" customHeight="false" outlineLevel="0" collapsed="false">
      <c r="A91" s="80" t="s">
        <v>140</v>
      </c>
      <c r="B91" s="81" t="n">
        <v>1045</v>
      </c>
      <c r="C91" s="82" t="n">
        <v>70</v>
      </c>
      <c r="D91" s="83" t="n">
        <v>2.8</v>
      </c>
      <c r="E91" s="133" t="n">
        <v>88</v>
      </c>
      <c r="F91" s="139" t="n">
        <v>200</v>
      </c>
      <c r="G91" s="86" t="s">
        <v>30</v>
      </c>
      <c r="H91" s="87" t="s">
        <v>57</v>
      </c>
      <c r="I91" s="203"/>
      <c r="J91" s="88" t="n">
        <v>40</v>
      </c>
      <c r="K91" s="174" t="s">
        <v>50</v>
      </c>
      <c r="L91" s="86" t="n">
        <v>11</v>
      </c>
      <c r="M91" s="90" t="s">
        <v>35</v>
      </c>
      <c r="N91" s="86" t="s">
        <v>32</v>
      </c>
      <c r="O91" s="91" t="n">
        <v>44546</v>
      </c>
      <c r="P91" s="92" t="n">
        <v>2799</v>
      </c>
      <c r="Q91" s="92"/>
      <c r="S91" s="93" t="s">
        <v>33</v>
      </c>
      <c r="T91" s="94"/>
      <c r="U91" s="94"/>
    </row>
    <row r="92" customFormat="false" ht="15.75" hidden="false" customHeight="false" outlineLevel="0" collapsed="false">
      <c r="A92" s="80" t="s">
        <v>141</v>
      </c>
      <c r="B92" s="81" t="n">
        <v>815</v>
      </c>
      <c r="C92" s="82" t="n">
        <v>70</v>
      </c>
      <c r="D92" s="83" t="n">
        <v>2.8</v>
      </c>
      <c r="E92" s="246" t="n">
        <v>81</v>
      </c>
      <c r="F92" s="139" t="n">
        <v>149</v>
      </c>
      <c r="G92" s="86" t="s">
        <v>30</v>
      </c>
      <c r="H92" s="87" t="s">
        <v>54</v>
      </c>
      <c r="I92" s="203" t="n">
        <v>0.5</v>
      </c>
      <c r="J92" s="88" t="n">
        <v>85</v>
      </c>
      <c r="K92" s="86" t="s">
        <v>26</v>
      </c>
      <c r="L92" s="86" t="n">
        <v>9</v>
      </c>
      <c r="M92" s="90" t="s">
        <v>142</v>
      </c>
      <c r="N92" s="86" t="s">
        <v>56</v>
      </c>
      <c r="O92" s="91" t="n">
        <v>43952</v>
      </c>
      <c r="P92" s="247" t="n">
        <v>1199</v>
      </c>
      <c r="Q92" s="92" t="s">
        <v>36</v>
      </c>
      <c r="R92" s="94"/>
      <c r="S92" s="137" t="s">
        <v>33</v>
      </c>
      <c r="T92" s="94"/>
      <c r="U92" s="93"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93" customFormat="false" ht="15.75" hidden="false" customHeight="false" outlineLevel="0" collapsed="false">
      <c r="A93" s="80" t="s">
        <v>143</v>
      </c>
      <c r="B93" s="81" t="n">
        <v>854</v>
      </c>
      <c r="C93" s="82" t="n">
        <v>70</v>
      </c>
      <c r="D93" s="83" t="s">
        <v>144</v>
      </c>
      <c r="E93" s="133" t="n">
        <v>84</v>
      </c>
      <c r="F93" s="139" t="n">
        <v>144</v>
      </c>
      <c r="G93" s="86" t="s">
        <v>30</v>
      </c>
      <c r="H93" s="87" t="s">
        <v>49</v>
      </c>
      <c r="I93" s="135" t="n">
        <v>0.31</v>
      </c>
      <c r="J93" s="88" t="n">
        <v>90</v>
      </c>
      <c r="K93" s="174" t="s">
        <v>50</v>
      </c>
      <c r="L93" s="86" t="n">
        <v>9</v>
      </c>
      <c r="M93" s="90" t="s">
        <v>53</v>
      </c>
      <c r="N93" s="86" t="s">
        <v>32</v>
      </c>
      <c r="O93" s="91" t="n">
        <v>42430</v>
      </c>
      <c r="P93" s="92" t="n">
        <v>1198</v>
      </c>
      <c r="Q93" s="92" t="n">
        <v>850</v>
      </c>
      <c r="R93" s="93" t="str">
        <f aca="false">HYPERLINK("https://amzn.to/2SVN1Ao","link*")</f>
        <v>link*</v>
      </c>
      <c r="S93" s="93" t="str">
        <f aca="false">HYPERLINK("https://www.bhphotovideo.com/c/product/1242614-REG/sony_sel70300g_fe_70_300mm_f_4_5_5_6_g.html/BI/19619/KBID/12129/DFF/d10-v21-t1-x722726/SID/EZ","link*")</f>
        <v>link*</v>
      </c>
      <c r="T93" s="94" t="s">
        <v>33</v>
      </c>
      <c r="U93" s="93"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94" customFormat="false" ht="15.75" hidden="false" customHeight="false" outlineLevel="0" collapsed="false">
      <c r="A94" s="248" t="s">
        <v>145</v>
      </c>
      <c r="B94" s="249" t="n">
        <v>545</v>
      </c>
      <c r="C94" s="250" t="n">
        <v>70</v>
      </c>
      <c r="D94" s="251" t="n">
        <v>4.5</v>
      </c>
      <c r="E94" s="196" t="n">
        <v>77</v>
      </c>
      <c r="F94" s="197" t="n">
        <v>148</v>
      </c>
      <c r="G94" s="224" t="s">
        <v>30</v>
      </c>
      <c r="H94" s="252" t="s">
        <v>54</v>
      </c>
      <c r="I94" s="253" t="n">
        <f aca="false">1/5.1</f>
        <v>0.1960784314</v>
      </c>
      <c r="J94" s="225" t="n">
        <v>150</v>
      </c>
      <c r="K94" s="254" t="s">
        <v>26</v>
      </c>
      <c r="L94" s="224" t="n">
        <v>7</v>
      </c>
      <c r="M94" s="227" t="n">
        <v>44119</v>
      </c>
      <c r="N94" s="224" t="s">
        <v>56</v>
      </c>
      <c r="O94" s="235" t="n">
        <v>44133</v>
      </c>
      <c r="P94" s="136" t="n">
        <v>549</v>
      </c>
      <c r="Q94" s="136" t="s">
        <v>36</v>
      </c>
      <c r="R94" s="230" t="s">
        <v>33</v>
      </c>
      <c r="S94" s="230" t="s">
        <v>33</v>
      </c>
      <c r="T94" s="230" t="s">
        <v>33</v>
      </c>
      <c r="U94" s="230" t="s">
        <v>33</v>
      </c>
    </row>
    <row r="95" customFormat="false" ht="15.75" hidden="false" customHeight="false" outlineLevel="0" collapsed="false">
      <c r="A95" s="24" t="str">
        <f aca="false">HYPERLINK("https://phillipreeve.net/blog/review-sony-fe-470-200-g-oss/https://phillipreeve.net/blog/review-sony-fe-470-200-g-oss/","Sony G 4/70-200 OSS")</f>
        <v>Sony G 4/70-200 OSS</v>
      </c>
      <c r="B95" s="25" t="n">
        <v>840</v>
      </c>
      <c r="C95" s="26" t="n">
        <v>70</v>
      </c>
      <c r="D95" s="27" t="n">
        <v>4</v>
      </c>
      <c r="E95" s="130" t="n">
        <v>80</v>
      </c>
      <c r="F95" s="175" t="n">
        <v>175</v>
      </c>
      <c r="G95" s="32" t="s">
        <v>30</v>
      </c>
      <c r="H95" s="31" t="s">
        <v>49</v>
      </c>
      <c r="I95" s="32" t="n">
        <v>0.18</v>
      </c>
      <c r="J95" s="33" t="n">
        <v>100</v>
      </c>
      <c r="K95" s="176" t="s">
        <v>50</v>
      </c>
      <c r="L95" s="32" t="n">
        <v>9</v>
      </c>
      <c r="M95" s="255" t="s">
        <v>124</v>
      </c>
      <c r="N95" s="32" t="s">
        <v>32</v>
      </c>
      <c r="O95" s="35" t="n">
        <v>41548</v>
      </c>
      <c r="P95" s="36" t="n">
        <v>1498</v>
      </c>
      <c r="Q95" s="36" t="n">
        <v>850</v>
      </c>
      <c r="R95" s="37" t="str">
        <f aca="false">HYPERLINK("http://amzn.to/2fbeX3x","link*")</f>
        <v>link*</v>
      </c>
      <c r="S95" s="37" t="str">
        <f aca="false">HYPERLINK("https://www.bhphotovideo.com/c/product/1380865-REG/sony_fe_70_200mm_f_4_g.html/BI/19619/KBID/12129/kw/SO702004F/DFF/d10-v2-t1-xSO702004F","link*")</f>
        <v>link*</v>
      </c>
      <c r="T95" s="37" t="str">
        <f aca="false">HYPERLINK("http://amzn.to/2vbFQKj","link*")</f>
        <v>link*</v>
      </c>
      <c r="U95" s="37"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95" s="38"/>
    </row>
    <row r="96" customFormat="false" ht="15.75" hidden="false" customHeight="false" outlineLevel="0" collapsed="false">
      <c r="A96" s="54" t="s">
        <v>146</v>
      </c>
      <c r="B96" s="55" t="n">
        <v>230</v>
      </c>
      <c r="C96" s="56" t="n">
        <v>75</v>
      </c>
      <c r="D96" s="57" t="n">
        <v>1.8</v>
      </c>
      <c r="E96" s="196" t="n">
        <v>65</v>
      </c>
      <c r="F96" s="197" t="n">
        <v>69</v>
      </c>
      <c r="G96" s="62" t="s">
        <v>30</v>
      </c>
      <c r="H96" s="61" t="s">
        <v>48</v>
      </c>
      <c r="I96" s="62" t="n">
        <v>0.13</v>
      </c>
      <c r="J96" s="63" t="n">
        <v>69</v>
      </c>
      <c r="K96" s="60" t="s">
        <v>26</v>
      </c>
      <c r="L96" s="62" t="n">
        <v>9</v>
      </c>
      <c r="M96" s="75" t="n">
        <v>44084</v>
      </c>
      <c r="N96" s="62" t="s">
        <v>47</v>
      </c>
      <c r="O96" s="256" t="n">
        <v>43922</v>
      </c>
      <c r="P96" s="66" t="n">
        <v>399</v>
      </c>
      <c r="Q96" s="66" t="s">
        <v>36</v>
      </c>
      <c r="R96" s="68" t="s">
        <v>33</v>
      </c>
      <c r="S96" s="68" t="s">
        <v>33</v>
      </c>
      <c r="T96" s="68" t="s">
        <v>33</v>
      </c>
      <c r="U96" s="93"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97" customFormat="false" ht="15.75" hidden="false" customHeight="false" outlineLevel="0" collapsed="false">
      <c r="A97" s="113" t="str">
        <f aca="false">HYPERLINK("https://phillipreeve.net/blog/review-sony-fe-85mm-1-4-gm/","Sony GM 1.4/85")</f>
        <v>Sony GM 1.4/85</v>
      </c>
      <c r="B97" s="40" t="n">
        <v>854</v>
      </c>
      <c r="C97" s="41" t="n">
        <v>85</v>
      </c>
      <c r="D97" s="42" t="n">
        <v>1.4</v>
      </c>
      <c r="E97" s="133" t="n">
        <v>84</v>
      </c>
      <c r="F97" s="139" t="n">
        <v>108</v>
      </c>
      <c r="G97" s="47" t="s">
        <v>30</v>
      </c>
      <c r="H97" s="46" t="s">
        <v>57</v>
      </c>
      <c r="I97" s="47" t="n">
        <v>0.12</v>
      </c>
      <c r="J97" s="48" t="n">
        <v>80</v>
      </c>
      <c r="K97" s="45" t="s">
        <v>26</v>
      </c>
      <c r="L97" s="47" t="n">
        <v>11</v>
      </c>
      <c r="M97" s="79" t="n">
        <v>43688</v>
      </c>
      <c r="N97" s="47" t="s">
        <v>32</v>
      </c>
      <c r="O97" s="50" t="n">
        <v>42401</v>
      </c>
      <c r="P97" s="51" t="n">
        <v>1799</v>
      </c>
      <c r="Q97" s="51" t="n">
        <v>1150</v>
      </c>
      <c r="R97" s="52" t="str">
        <f aca="false">HYPERLINK("https://amzn.to/2SZeKAh","link*")</f>
        <v>link*</v>
      </c>
      <c r="S97" s="52" t="str">
        <f aca="false">HYPERLINK("https://www.bhphotovideo.com/c/product/1222775-REG/sony_sel85f14gm_fe_85mm_f_1_4_gm.html/BI/19619/KBID/12129/DFF/d10-v21-t1-x707644/SID/EZ","link*")</f>
        <v>link*</v>
      </c>
      <c r="T97" s="140" t="s">
        <v>33</v>
      </c>
      <c r="U97" s="52"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98" customFormat="false" ht="15.75" hidden="false" customHeight="false" outlineLevel="0" collapsed="false">
      <c r="A98" s="80" t="s">
        <v>147</v>
      </c>
      <c r="B98" s="81" t="n">
        <v>1245</v>
      </c>
      <c r="C98" s="82" t="n">
        <v>85</v>
      </c>
      <c r="D98" s="83" t="n">
        <v>1.4</v>
      </c>
      <c r="E98" s="133" t="n">
        <v>95</v>
      </c>
      <c r="F98" s="139" t="n">
        <v>152</v>
      </c>
      <c r="G98" s="86" t="s">
        <v>30</v>
      </c>
      <c r="H98" s="257" t="s">
        <v>148</v>
      </c>
      <c r="I98" s="86" t="n">
        <v>0.12</v>
      </c>
      <c r="J98" s="88" t="n">
        <v>85</v>
      </c>
      <c r="K98" s="89" t="s">
        <v>26</v>
      </c>
      <c r="L98" s="86" t="n">
        <v>9</v>
      </c>
      <c r="M98" s="122" t="n">
        <v>43724</v>
      </c>
      <c r="N98" s="86" t="s">
        <v>43</v>
      </c>
      <c r="O98" s="91" t="n">
        <v>43221</v>
      </c>
      <c r="P98" s="92" t="n">
        <v>1199</v>
      </c>
      <c r="Q98" s="92" t="n">
        <v>750</v>
      </c>
      <c r="R98" s="93" t="str">
        <f aca="false">HYPERLINK("https://amzn.to/2MBd68k","link*")</f>
        <v>link*</v>
      </c>
      <c r="S98" s="93" t="str">
        <f aca="false">HYPERLINK("https://www.bhphotovideo.com/c/product/1393494-REG/sigma_85mm_f_1_4_dg_hsm.html/BI/19619/KBID/12129/kw/SI8514SO/DFF/d10-v2-t1-xSI8514SO","link*")</f>
        <v>link*</v>
      </c>
      <c r="T98" s="93" t="str">
        <f aca="false">HYPERLINK("https://amzn.to/2Wto6JH","link*")</f>
        <v>link*</v>
      </c>
      <c r="U98" s="93"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99" customFormat="false" ht="15.75" hidden="false" customHeight="false" outlineLevel="0" collapsed="false">
      <c r="A99" s="80" t="s">
        <v>149</v>
      </c>
      <c r="B99" s="81" t="n">
        <v>568</v>
      </c>
      <c r="C99" s="82" t="n">
        <v>85</v>
      </c>
      <c r="D99" s="83" t="n">
        <v>1.4</v>
      </c>
      <c r="E99" s="133" t="n">
        <v>88</v>
      </c>
      <c r="F99" s="139" t="n">
        <v>100</v>
      </c>
      <c r="G99" s="86" t="s">
        <v>30</v>
      </c>
      <c r="H99" s="87" t="s">
        <v>57</v>
      </c>
      <c r="I99" s="86" t="n">
        <v>0.11</v>
      </c>
      <c r="J99" s="88" t="n">
        <v>90</v>
      </c>
      <c r="K99" s="89" t="s">
        <v>26</v>
      </c>
      <c r="L99" s="86" t="n">
        <v>9</v>
      </c>
      <c r="M99" s="122" t="n">
        <v>43688</v>
      </c>
      <c r="N99" s="86" t="s">
        <v>47</v>
      </c>
      <c r="O99" s="91" t="n">
        <v>43586</v>
      </c>
      <c r="P99" s="145" t="n">
        <v>599</v>
      </c>
      <c r="Q99" s="92" t="n">
        <v>500</v>
      </c>
      <c r="R99" s="93" t="str">
        <f aca="false">HYPERLINK("https://amzn.to/2T0yJ1A","link*")</f>
        <v>link*</v>
      </c>
      <c r="S99" s="93" t="str">
        <f aca="false">HYPERLINK("https://www.bhphotovideo.com/c/product/1470654-REG/samyang_syio85af_e_af_85mm_f_1_4_lens.html/BI/19619/KBID/12129/DFF/d10-v21-t1-x955078/SID/EZ","link*")</f>
        <v>link*</v>
      </c>
      <c r="T99" s="94" t="s">
        <v>33</v>
      </c>
      <c r="U99" s="93"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00" customFormat="false" ht="15.75" hidden="false" customHeight="false" outlineLevel="0" collapsed="false">
      <c r="A100" s="80" t="s">
        <v>150</v>
      </c>
      <c r="B100" s="81" t="n">
        <v>630</v>
      </c>
      <c r="C100" s="82" t="n">
        <v>85</v>
      </c>
      <c r="D100" s="83" t="n">
        <v>1.4</v>
      </c>
      <c r="E100" s="133" t="n">
        <v>82.5</v>
      </c>
      <c r="F100" s="139" t="n">
        <v>94.1</v>
      </c>
      <c r="G100" s="86" t="s">
        <v>30</v>
      </c>
      <c r="H100" s="87" t="s">
        <v>57</v>
      </c>
      <c r="I100" s="86" t="n">
        <f aca="false">1/8.4</f>
        <v>0.119047619</v>
      </c>
      <c r="J100" s="88" t="n">
        <v>85</v>
      </c>
      <c r="K100" s="89" t="s">
        <v>26</v>
      </c>
      <c r="L100" s="86" t="n">
        <v>11</v>
      </c>
      <c r="M100" s="122" t="n">
        <v>44150</v>
      </c>
      <c r="N100" s="86" t="s">
        <v>43</v>
      </c>
      <c r="O100" s="91"/>
      <c r="P100" s="145" t="n">
        <v>1199</v>
      </c>
      <c r="Q100" s="92"/>
      <c r="R100" s="94"/>
      <c r="S100" s="94"/>
      <c r="T100" s="94"/>
      <c r="U100" s="94"/>
    </row>
    <row r="101" customFormat="false" ht="15.75" hidden="false" customHeight="false" outlineLevel="0" collapsed="false">
      <c r="A101" s="128" t="str">
        <f aca="false">HYPERLINK("https://phillipreeve.net/blog/review-sony-fe-85-mm-1-8/","Sony FE 85mm f/1.8")</f>
        <v>Sony FE 85mm f/1.8</v>
      </c>
      <c r="B101" s="81" t="n">
        <v>371</v>
      </c>
      <c r="C101" s="82" t="n">
        <v>85</v>
      </c>
      <c r="D101" s="83" t="n">
        <v>1.8</v>
      </c>
      <c r="E101" s="133" t="n">
        <v>77</v>
      </c>
      <c r="F101" s="139" t="n">
        <v>82</v>
      </c>
      <c r="G101" s="86" t="s">
        <v>30</v>
      </c>
      <c r="H101" s="87" t="s">
        <v>54</v>
      </c>
      <c r="I101" s="86" t="n">
        <v>0.13</v>
      </c>
      <c r="J101" s="88" t="n">
        <v>80</v>
      </c>
      <c r="K101" s="89" t="s">
        <v>26</v>
      </c>
      <c r="L101" s="86" t="n">
        <v>9</v>
      </c>
      <c r="M101" s="122" t="n">
        <v>43686</v>
      </c>
      <c r="N101" s="86" t="s">
        <v>32</v>
      </c>
      <c r="O101" s="91" t="n">
        <v>42767</v>
      </c>
      <c r="P101" s="145" t="n">
        <v>599</v>
      </c>
      <c r="Q101" s="145" t="n">
        <v>470</v>
      </c>
      <c r="R101" s="93" t="str">
        <f aca="false">HYPERLINK("https://amzn.to/2YB4RxU","link*")</f>
        <v>link*</v>
      </c>
      <c r="S101" s="93" t="str">
        <f aca="false">HYPERLINK("https://www.bhphotovideo.com/c/product/1140833-REG/zeiss_2103_751_85mm_f_1_8_batis_short.html/BI/19619/KBID/12129/DFF/d10-v21-t1-x627139/SID/EZ","link*")</f>
        <v>link*</v>
      </c>
      <c r="T101" s="94" t="s">
        <v>33</v>
      </c>
      <c r="U101" s="93"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02" customFormat="false" ht="15.75" hidden="false" customHeight="false" outlineLevel="0" collapsed="false">
      <c r="A102" s="80" t="s">
        <v>151</v>
      </c>
      <c r="B102" s="81" t="n">
        <v>645</v>
      </c>
      <c r="C102" s="82" t="n">
        <v>85</v>
      </c>
      <c r="D102" s="83" t="n">
        <v>1.8</v>
      </c>
      <c r="E102" s="133" t="n">
        <v>80</v>
      </c>
      <c r="F102" s="139" t="n">
        <v>93</v>
      </c>
      <c r="G102" s="86" t="s">
        <v>30</v>
      </c>
      <c r="H102" s="87" t="s">
        <v>49</v>
      </c>
      <c r="I102" s="86" t="n">
        <v>0.125</v>
      </c>
      <c r="J102" s="88" t="n">
        <v>80</v>
      </c>
      <c r="K102" s="89" t="s">
        <v>26</v>
      </c>
      <c r="L102" s="86" t="n">
        <v>9</v>
      </c>
      <c r="M102" s="122" t="n">
        <v>44022</v>
      </c>
      <c r="N102" s="86" t="s">
        <v>68</v>
      </c>
      <c r="O102" s="91" t="n">
        <v>43922</v>
      </c>
      <c r="P102" s="92" t="n">
        <v>499</v>
      </c>
      <c r="Q102" s="92" t="s">
        <v>36</v>
      </c>
      <c r="R102" s="94"/>
      <c r="S102" s="137" t="s">
        <v>33</v>
      </c>
      <c r="T102" s="94"/>
      <c r="U102" s="93"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02" s="69" t="s">
        <v>152</v>
      </c>
    </row>
    <row r="103" customFormat="false" ht="15.75" hidden="false" customHeight="false" outlineLevel="0" collapsed="false">
      <c r="A103" s="128" t="str">
        <f aca="false">HYPERLINK("https://phillipreeve.net/blog/zeiss-batis-sonnar-t-85mm-f1-8-a-review/","Zeiss Batis 1.8/85")</f>
        <v>Zeiss Batis 1.8/85</v>
      </c>
      <c r="B103" s="81" t="n">
        <v>452</v>
      </c>
      <c r="C103" s="82" t="n">
        <v>85</v>
      </c>
      <c r="D103" s="83" t="n">
        <v>1.8</v>
      </c>
      <c r="E103" s="133" t="n">
        <v>92</v>
      </c>
      <c r="F103" s="139" t="n">
        <v>81</v>
      </c>
      <c r="G103" s="86" t="s">
        <v>30</v>
      </c>
      <c r="H103" s="87" t="s">
        <v>54</v>
      </c>
      <c r="I103" s="86" t="n">
        <v>0.13</v>
      </c>
      <c r="J103" s="88" t="n">
        <v>80</v>
      </c>
      <c r="K103" s="174" t="s">
        <v>50</v>
      </c>
      <c r="L103" s="86" t="n">
        <v>9</v>
      </c>
      <c r="M103" s="122" t="n">
        <v>43688</v>
      </c>
      <c r="N103" s="86" t="s">
        <v>59</v>
      </c>
      <c r="O103" s="91" t="n">
        <v>42125</v>
      </c>
      <c r="P103" s="92" t="n">
        <v>1199</v>
      </c>
      <c r="Q103" s="92" t="n">
        <v>800</v>
      </c>
      <c r="R103" s="93" t="str">
        <f aca="false">HYPERLINK("https://amzn.to/2T8oWqt","link*")</f>
        <v>link*</v>
      </c>
      <c r="S103" s="93" t="str">
        <f aca="false">HYPERLINK("https://www.bhphotovideo.com/c/product/1140833-REG/zeiss_2103_751_85mm_f_1_8_batis_short.html/BI/19619/KBID/12129/DFF/d10-v21-t1-x627139/SID/EZ","link*")</f>
        <v>link*</v>
      </c>
      <c r="T103" s="94" t="s">
        <v>33</v>
      </c>
      <c r="U103" s="93"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04" customFormat="false" ht="15.75" hidden="false" customHeight="false" outlineLevel="0" collapsed="false">
      <c r="A104" s="80" t="s">
        <v>153</v>
      </c>
      <c r="B104" s="81" t="n">
        <v>665</v>
      </c>
      <c r="C104" s="82" t="n">
        <v>85</v>
      </c>
      <c r="D104" s="83" t="n">
        <v>1.8</v>
      </c>
      <c r="E104" s="133" t="n">
        <v>79</v>
      </c>
      <c r="F104" s="139" t="n">
        <v>92</v>
      </c>
      <c r="G104" s="86" t="s">
        <v>24</v>
      </c>
      <c r="H104" s="87" t="s">
        <v>49</v>
      </c>
      <c r="I104" s="86" t="n">
        <v>0.13</v>
      </c>
      <c r="J104" s="88" t="n">
        <v>80</v>
      </c>
      <c r="K104" s="89" t="s">
        <v>26</v>
      </c>
      <c r="L104" s="86" t="n">
        <v>9</v>
      </c>
      <c r="M104" s="122" t="n">
        <v>43656</v>
      </c>
      <c r="N104" s="86" t="s">
        <v>64</v>
      </c>
      <c r="O104" s="91" t="n">
        <v>43586</v>
      </c>
      <c r="P104" s="92" t="n">
        <v>299</v>
      </c>
      <c r="Q104" s="92" t="s">
        <v>36</v>
      </c>
      <c r="R104" s="93" t="str">
        <f aca="false">HYPERLINK("https://amzn.to/2LVVOBV","link*")</f>
        <v>link*</v>
      </c>
      <c r="S104" s="94" t="e">
        <f aca="false">HYPERLINK("https://www.bhphotovideo.com/c/product/1469189-REG/viltrox_pfu_rbmh_85mm_f1_8_e_mount_85mm_f_1_8_for_sony.html/BI/19619/KBID/12129/DFF/d10-v21-t1-x954301/SID/EZ", S104,"link*")</f>
        <v>#VALUE!</v>
      </c>
      <c r="T104" s="94" t="s">
        <v>33</v>
      </c>
      <c r="U104" s="93"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04" s="69" t="s">
        <v>39</v>
      </c>
    </row>
    <row r="105" customFormat="false" ht="15.75" hidden="false" customHeight="false" outlineLevel="0" collapsed="false">
      <c r="A105" s="128" t="str">
        <f aca="false">HYPERLINK("https://phillipreeve.net/blog/review-viltrox-85-mm-f-1-8-stm-af-pfu-rbmh/","Viltrox PFU RBMH 85mm f/1.8 STM")</f>
        <v>Viltrox PFU RBMH 85mm f/1.8 STM</v>
      </c>
      <c r="B105" s="81" t="n">
        <v>636</v>
      </c>
      <c r="C105" s="82" t="n">
        <v>85</v>
      </c>
      <c r="D105" s="83" t="n">
        <v>1.8</v>
      </c>
      <c r="E105" s="133" t="n">
        <v>79</v>
      </c>
      <c r="F105" s="139" t="n">
        <v>92</v>
      </c>
      <c r="G105" s="86" t="s">
        <v>30</v>
      </c>
      <c r="H105" s="87" t="s">
        <v>49</v>
      </c>
      <c r="I105" s="86" t="n">
        <v>0.13</v>
      </c>
      <c r="J105" s="88" t="n">
        <v>80</v>
      </c>
      <c r="K105" s="89" t="s">
        <v>26</v>
      </c>
      <c r="L105" s="86" t="n">
        <v>9</v>
      </c>
      <c r="M105" s="122" t="n">
        <v>43656</v>
      </c>
      <c r="N105" s="86" t="s">
        <v>64</v>
      </c>
      <c r="O105" s="91" t="n">
        <v>43586</v>
      </c>
      <c r="P105" s="92" t="n">
        <v>399</v>
      </c>
      <c r="Q105" s="92" t="s">
        <v>36</v>
      </c>
      <c r="R105" s="93" t="str">
        <f aca="false">HYPERLINK("https://amzn.to/2SZfd5v","link*")</f>
        <v>link*</v>
      </c>
      <c r="S105" s="93" t="str">
        <f aca="false">HYPERLINK("https://www.bhphotovideo.com/c/product/1470585-REG/viltrox_pfu_rbmh_85mm_f1_8_stm_e_mount_85mm_f_1_8_lens_for.html/BI/19619/KBID/12129/DFF/d10-v21-t1-x955239/SID/EZ","link*")</f>
        <v>link*</v>
      </c>
      <c r="T105" s="94" t="s">
        <v>33</v>
      </c>
      <c r="U105" s="93"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5" s="69" t="s">
        <v>39</v>
      </c>
    </row>
    <row r="106" customFormat="false" ht="15.75" hidden="false" customHeight="false" outlineLevel="0" collapsed="false">
      <c r="A106" s="258" t="str">
        <f aca="false">HYPERLINK("https://phillipreeve.net/blog/review-viltrox-85-mm-f-1-8-stm-af-pfu-rbmh/","Viltrox 85mm f/1.8 STM II")</f>
        <v>Viltrox 85mm f/1.8 STM II</v>
      </c>
      <c r="B106" s="178" t="n">
        <v>484</v>
      </c>
      <c r="C106" s="179" t="n">
        <v>85</v>
      </c>
      <c r="D106" s="259" t="n">
        <v>1.8</v>
      </c>
      <c r="E106" s="260" t="n">
        <v>79</v>
      </c>
      <c r="F106" s="261" t="n">
        <v>92</v>
      </c>
      <c r="G106" s="188" t="s">
        <v>30</v>
      </c>
      <c r="H106" s="184" t="s">
        <v>49</v>
      </c>
      <c r="I106" s="184" t="n">
        <v>0.13</v>
      </c>
      <c r="J106" s="186" t="n">
        <v>80</v>
      </c>
      <c r="K106" s="183" t="s">
        <v>26</v>
      </c>
      <c r="L106" s="184" t="n">
        <v>9</v>
      </c>
      <c r="M106" s="262" t="n">
        <v>43656</v>
      </c>
      <c r="N106" s="188" t="s">
        <v>64</v>
      </c>
      <c r="O106" s="189" t="n">
        <v>44013</v>
      </c>
      <c r="P106" s="190" t="n">
        <v>399</v>
      </c>
      <c r="Q106" s="263" t="s">
        <v>36</v>
      </c>
      <c r="R106" s="191" t="str">
        <f aca="false">HYPERLINK("https://amzn.to/2SZfd5v","link*")</f>
        <v>link*</v>
      </c>
      <c r="S106" s="191" t="str">
        <f aca="false">HYPERLINK("https://www.bhphotovideo.com/c/product/1470585-REG/viltrox_pfu_rbmh_85mm_f1_8_stm_e_mount_85mm_f_1_8_lens_for.html/BI/19619/KBID/12129/DFF/d10-v21-t1-x955239/SID/EZ","link*")</f>
        <v>link*</v>
      </c>
      <c r="T106" s="264" t="s">
        <v>33</v>
      </c>
      <c r="U106" s="1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06" s="192"/>
      <c r="W106" s="192"/>
      <c r="X106" s="192"/>
      <c r="Y106" s="192"/>
      <c r="Z106" s="192"/>
      <c r="AA106" s="192"/>
      <c r="AB106" s="192"/>
    </row>
    <row r="107" customFormat="false" ht="15.75" hidden="false" customHeight="false" outlineLevel="0" collapsed="false">
      <c r="A107" s="248" t="s">
        <v>154</v>
      </c>
      <c r="B107" s="265" t="n">
        <v>420</v>
      </c>
      <c r="C107" s="266" t="n">
        <v>85</v>
      </c>
      <c r="D107" s="267" t="n">
        <v>1.8</v>
      </c>
      <c r="E107" s="150" t="n">
        <v>79</v>
      </c>
      <c r="F107" s="197" t="n">
        <v>75</v>
      </c>
      <c r="G107" s="268" t="s">
        <v>24</v>
      </c>
      <c r="H107" s="269" t="s">
        <v>54</v>
      </c>
      <c r="I107" s="268"/>
      <c r="J107" s="270" t="n">
        <v>85</v>
      </c>
      <c r="K107" s="271" t="s">
        <v>26</v>
      </c>
      <c r="L107" s="268" t="n">
        <v>9</v>
      </c>
      <c r="M107" s="272" t="n">
        <v>43991</v>
      </c>
      <c r="N107" s="268" t="s">
        <v>155</v>
      </c>
      <c r="O107" s="273" t="n">
        <v>44043</v>
      </c>
      <c r="P107" s="274"/>
      <c r="Q107" s="274"/>
      <c r="R107" s="275"/>
      <c r="S107" s="275"/>
      <c r="T107" s="275"/>
      <c r="U107" s="275"/>
    </row>
    <row r="108" customFormat="false" ht="15.75" hidden="false" customHeight="false" outlineLevel="0" collapsed="false">
      <c r="A108" s="248" t="s">
        <v>156</v>
      </c>
      <c r="B108" s="265" t="n">
        <v>346</v>
      </c>
      <c r="C108" s="266" t="n">
        <v>85</v>
      </c>
      <c r="D108" s="267" t="n">
        <v>1.8</v>
      </c>
      <c r="E108" s="150" t="n">
        <v>67</v>
      </c>
      <c r="F108" s="197" t="n">
        <v>88</v>
      </c>
      <c r="G108" s="268" t="s">
        <v>30</v>
      </c>
      <c r="H108" s="269" t="s">
        <v>48</v>
      </c>
      <c r="I108" s="268" t="n">
        <v>0.13</v>
      </c>
      <c r="J108" s="270" t="n">
        <v>80</v>
      </c>
      <c r="K108" s="271" t="s">
        <v>26</v>
      </c>
      <c r="L108" s="268" t="n">
        <v>7</v>
      </c>
      <c r="M108" s="272" t="n">
        <v>44417</v>
      </c>
      <c r="N108" s="268" t="s">
        <v>122</v>
      </c>
      <c r="O108" s="273"/>
      <c r="P108" s="274" t="n">
        <v>250</v>
      </c>
      <c r="Q108" s="274"/>
      <c r="R108" s="275"/>
      <c r="S108" s="276" t="s">
        <v>33</v>
      </c>
      <c r="T108" s="275"/>
      <c r="U108" s="275"/>
    </row>
    <row r="109" customFormat="false" ht="15.75" hidden="false" customHeight="false" outlineLevel="0" collapsed="false">
      <c r="A109" s="24" t="str">
        <f aca="false">HYPERLINK("https://phillipreeve.net/blog/rolling-review-zeiss-loxia-85mm-2-4/","Zeiss Loxia 2.4/85")</f>
        <v>Zeiss Loxia 2.4/85</v>
      </c>
      <c r="B109" s="25" t="n">
        <v>594</v>
      </c>
      <c r="C109" s="26" t="n">
        <v>85</v>
      </c>
      <c r="D109" s="27" t="n">
        <v>2.4</v>
      </c>
      <c r="E109" s="130" t="n">
        <v>63</v>
      </c>
      <c r="F109" s="175" t="n">
        <v>95</v>
      </c>
      <c r="G109" s="32" t="s">
        <v>24</v>
      </c>
      <c r="H109" s="31" t="s">
        <v>73</v>
      </c>
      <c r="I109" s="32" t="n">
        <v>0.14</v>
      </c>
      <c r="J109" s="33" t="n">
        <v>80</v>
      </c>
      <c r="K109" s="30" t="s">
        <v>26</v>
      </c>
      <c r="L109" s="32" t="n">
        <v>10</v>
      </c>
      <c r="M109" s="98" t="n">
        <v>43653</v>
      </c>
      <c r="N109" s="32" t="s">
        <v>59</v>
      </c>
      <c r="O109" s="35" t="n">
        <v>42644</v>
      </c>
      <c r="P109" s="36" t="n">
        <v>1399</v>
      </c>
      <c r="Q109" s="36" t="n">
        <v>850</v>
      </c>
      <c r="R109" s="37" t="str">
        <f aca="false">HYPERLINK("https://amzn.to/2SY4PLd","link*")</f>
        <v>link*</v>
      </c>
      <c r="S109" s="37" t="str">
        <f aca="false">HYPERLINK("https://www.bhphotovideo.com/c/product/1282150-REG/zeiss_2162_636_loxia_85mm_f_2_4_lens.html/BI/19619/KBID/12129/DFF/d10-v21-t1-x762761/SID/EZ","link*")</f>
        <v>link*</v>
      </c>
      <c r="T109" s="71" t="s">
        <v>33</v>
      </c>
      <c r="U109" s="37"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09" s="38"/>
    </row>
    <row r="110" customFormat="false" ht="15.75" hidden="false" customHeight="false" outlineLevel="0" collapsed="false">
      <c r="A110" s="99" t="str">
        <f aca="false">HYPERLINK("https://phillipreeve.net/blog/review-sony-fe-90mm-f2-8-macro-oss-one-of-sonys-finest/","Sony 2.8/90 G OSS")</f>
        <v>Sony 2.8/90 G OSS</v>
      </c>
      <c r="B110" s="100" t="n">
        <v>602</v>
      </c>
      <c r="C110" s="101" t="n">
        <v>90</v>
      </c>
      <c r="D110" s="102" t="n">
        <v>2.8</v>
      </c>
      <c r="E110" s="130" t="n">
        <v>79</v>
      </c>
      <c r="F110" s="175" t="n">
        <v>131</v>
      </c>
      <c r="G110" s="107" t="s">
        <v>30</v>
      </c>
      <c r="H110" s="106" t="s">
        <v>67</v>
      </c>
      <c r="I110" s="277" t="n">
        <v>1</v>
      </c>
      <c r="J110" s="108" t="n">
        <v>28</v>
      </c>
      <c r="K110" s="278" t="s">
        <v>50</v>
      </c>
      <c r="L110" s="107" t="n">
        <v>9</v>
      </c>
      <c r="M110" s="238" t="n">
        <v>43784</v>
      </c>
      <c r="N110" s="107" t="s">
        <v>32</v>
      </c>
      <c r="O110" s="110" t="n">
        <v>42064</v>
      </c>
      <c r="P110" s="111" t="n">
        <v>1099</v>
      </c>
      <c r="Q110" s="111" t="n">
        <v>850</v>
      </c>
      <c r="R110" s="112" t="str">
        <f aca="false">HYPERLINK("http://amzn.to/2fbeX3x","link*")</f>
        <v>link*</v>
      </c>
      <c r="S110" s="112" t="str">
        <f aca="false">HYPERLINK("https://www.bhphotovideo.com/c/product/1380868-REG/sony_fe_90mm_f_2_8_macro.html/BI/19619/KBID/12129/kw/SO9028F/DFF/d10-v2-t1-xSO9028F","link*")</f>
        <v>link*</v>
      </c>
      <c r="T110" s="112" t="str">
        <f aca="false">HYPERLINK("http://amzn.to/2vvvHcw","link*")</f>
        <v>link*</v>
      </c>
      <c r="U110" s="112"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10" s="38"/>
    </row>
    <row r="111" customFormat="false" ht="15.75" hidden="false" customHeight="false" outlineLevel="0" collapsed="false">
      <c r="A111" s="54" t="s">
        <v>157</v>
      </c>
      <c r="B111" s="55" t="n">
        <v>295</v>
      </c>
      <c r="C111" s="56" t="n">
        <v>90</v>
      </c>
      <c r="D111" s="57" t="n">
        <v>2.8</v>
      </c>
      <c r="E111" s="133" t="n">
        <v>64</v>
      </c>
      <c r="F111" s="134" t="n">
        <v>61.7</v>
      </c>
      <c r="G111" s="89" t="s">
        <v>30</v>
      </c>
      <c r="H111" s="87" t="n">
        <v>55</v>
      </c>
      <c r="I111" s="86"/>
      <c r="J111" s="88" t="n">
        <v>50</v>
      </c>
      <c r="K111" s="89" t="s">
        <v>26</v>
      </c>
      <c r="L111" s="86" t="n">
        <v>9</v>
      </c>
      <c r="M111" s="126" t="s">
        <v>58</v>
      </c>
      <c r="N111" s="86" t="s">
        <v>43</v>
      </c>
      <c r="O111" s="91" t="n">
        <v>44448</v>
      </c>
      <c r="P111" s="92" t="n">
        <v>639</v>
      </c>
      <c r="Q111" s="66"/>
      <c r="R111" s="67"/>
      <c r="S111" s="67"/>
      <c r="T111" s="67"/>
      <c r="U111" s="67"/>
    </row>
    <row r="112" customFormat="false" ht="15.75" hidden="false" customHeight="false" outlineLevel="0" collapsed="false">
      <c r="A112" s="113" t="str">
        <f aca="false">HYPERLINK("https://phillipreeve.net/blog/review-sony-fe-100-f-2-8-stf-gm-oss-lens/","Sony GM 2.8/100 STF OSS")</f>
        <v>Sony GM 2.8/100 STF OSS</v>
      </c>
      <c r="B112" s="40" t="n">
        <v>700</v>
      </c>
      <c r="C112" s="41" t="n">
        <v>100</v>
      </c>
      <c r="D112" s="42" t="n">
        <v>2.8</v>
      </c>
      <c r="E112" s="133" t="n">
        <v>85</v>
      </c>
      <c r="F112" s="139" t="n">
        <v>118</v>
      </c>
      <c r="G112" s="47" t="s">
        <v>30</v>
      </c>
      <c r="H112" s="46" t="s">
        <v>49</v>
      </c>
      <c r="I112" s="279" t="n">
        <v>0.25</v>
      </c>
      <c r="J112" s="48" t="n">
        <v>57</v>
      </c>
      <c r="K112" s="114" t="s">
        <v>50</v>
      </c>
      <c r="L112" s="47" t="n">
        <v>11</v>
      </c>
      <c r="M112" s="79" t="n">
        <v>43752</v>
      </c>
      <c r="N112" s="47" t="s">
        <v>32</v>
      </c>
      <c r="O112" s="50" t="n">
        <v>42767</v>
      </c>
      <c r="P112" s="51" t="n">
        <v>1499</v>
      </c>
      <c r="Q112" s="51" t="n">
        <v>1000</v>
      </c>
      <c r="R112" s="52" t="str">
        <f aca="false">HYPERLINK("https://amzn.to/2YD8rn4","link*")</f>
        <v>link*</v>
      </c>
      <c r="S112" s="52" t="str">
        <f aca="false">HYPERLINK("https://www.bhphotovideo.com/c/product/1317561-REG/sony_sel100f28gm_fe_100mm_f_2_8_stf.html/BI/19619/KBID/12129/DFF/d10-v21-t1-x795192/SID/EZ","link*")</f>
        <v>link*</v>
      </c>
      <c r="T112" s="140" t="s">
        <v>33</v>
      </c>
      <c r="U112" s="52"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2" s="69" t="s">
        <v>158</v>
      </c>
    </row>
    <row r="113" customFormat="false" ht="15.75" hidden="false" customHeight="false" outlineLevel="0" collapsed="false">
      <c r="A113" s="128" t="str">
        <f aca="false">HYPERLINK("https://phillipreeve.net/blog/review-tokina-firin-100mm-f2-8-fe-macro/","Tokina Firin 2.8/100 Macro")</f>
        <v>Tokina Firin 2.8/100 Macro</v>
      </c>
      <c r="B113" s="81" t="n">
        <v>570</v>
      </c>
      <c r="C113" s="82" t="n">
        <v>100</v>
      </c>
      <c r="D113" s="83" t="n">
        <v>2.8</v>
      </c>
      <c r="E113" s="133" t="n">
        <v>74</v>
      </c>
      <c r="F113" s="134" t="n">
        <v>123</v>
      </c>
      <c r="G113" s="86" t="s">
        <v>30</v>
      </c>
      <c r="H113" s="87" t="s">
        <v>78</v>
      </c>
      <c r="I113" s="280" t="n">
        <v>1</v>
      </c>
      <c r="J113" s="88" t="n">
        <v>30</v>
      </c>
      <c r="K113" s="89" t="s">
        <v>26</v>
      </c>
      <c r="L113" s="86" t="n">
        <v>9</v>
      </c>
      <c r="M113" s="122" t="n">
        <v>43686</v>
      </c>
      <c r="N113" s="86" t="s">
        <v>68</v>
      </c>
      <c r="O113" s="91" t="n">
        <v>43617</v>
      </c>
      <c r="P113" s="127" t="n">
        <v>599</v>
      </c>
      <c r="Q113" s="127" t="s">
        <v>36</v>
      </c>
      <c r="R113" s="93" t="str">
        <f aca="false">HYPERLINK("http://amzn.to/2fbeX3x","link*")</f>
        <v>link*</v>
      </c>
      <c r="S113" s="93" t="str">
        <f aca="false">HYPERLINK("https://www.bhphotovideo.com/c/product/1473390-REG/tokina_frn_afm100fxse_firin_100mm_f_2_8_fe.html/BI/19619/KBID/12129/kw/TO100AF/DFF/d10-v2-t1-xTO100AF","link*")</f>
        <v>link*</v>
      </c>
      <c r="T113" s="93"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3" s="93"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14" customFormat="false" ht="15.75" hidden="false" customHeight="false" outlineLevel="0" collapsed="false">
      <c r="A114" s="248" t="s">
        <v>159</v>
      </c>
      <c r="B114" s="249" t="n">
        <v>1135</v>
      </c>
      <c r="C114" s="250" t="n">
        <v>100</v>
      </c>
      <c r="D114" s="251" t="n">
        <v>5</v>
      </c>
      <c r="E114" s="196" t="n">
        <v>86</v>
      </c>
      <c r="F114" s="151" t="n">
        <v>197.2</v>
      </c>
      <c r="G114" s="224" t="s">
        <v>30</v>
      </c>
      <c r="H114" s="252" t="s">
        <v>54</v>
      </c>
      <c r="I114" s="281" t="n">
        <f aca="false">1/4.1</f>
        <v>0.243902439</v>
      </c>
      <c r="J114" s="225" t="n">
        <v>112</v>
      </c>
      <c r="K114" s="254" t="s">
        <v>50</v>
      </c>
      <c r="L114" s="224" t="n">
        <v>9</v>
      </c>
      <c r="M114" s="282" t="s">
        <v>160</v>
      </c>
      <c r="N114" s="224" t="s">
        <v>43</v>
      </c>
      <c r="O114" s="235" t="n">
        <v>44022</v>
      </c>
      <c r="P114" s="136" t="n">
        <v>949</v>
      </c>
      <c r="Q114" s="136" t="s">
        <v>36</v>
      </c>
      <c r="R114" s="229"/>
      <c r="S114" s="230" t="s">
        <v>33</v>
      </c>
      <c r="T114" s="229"/>
      <c r="U114" s="37"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14" s="283"/>
    </row>
    <row r="115" customFormat="false" ht="15.75" hidden="false" customHeight="false" outlineLevel="0" collapsed="false">
      <c r="A115" s="284" t="s">
        <v>161</v>
      </c>
      <c r="B115" s="25" t="n">
        <v>1395</v>
      </c>
      <c r="C115" s="26" t="n">
        <v>100</v>
      </c>
      <c r="D115" s="27" t="s">
        <v>144</v>
      </c>
      <c r="E115" s="130" t="n">
        <v>94</v>
      </c>
      <c r="F115" s="131" t="n">
        <v>205</v>
      </c>
      <c r="G115" s="32" t="s">
        <v>30</v>
      </c>
      <c r="H115" s="31" t="s">
        <v>57</v>
      </c>
      <c r="I115" s="231" t="n">
        <v>0.35</v>
      </c>
      <c r="J115" s="33" t="n">
        <v>98</v>
      </c>
      <c r="K115" s="176" t="s">
        <v>50</v>
      </c>
      <c r="L115" s="32" t="n">
        <v>9</v>
      </c>
      <c r="M115" s="255" t="s">
        <v>160</v>
      </c>
      <c r="N115" s="32" t="s">
        <v>32</v>
      </c>
      <c r="O115" s="35" t="n">
        <v>42826</v>
      </c>
      <c r="P115" s="36" t="n">
        <v>2499</v>
      </c>
      <c r="Q115" s="36" t="n">
        <v>1950</v>
      </c>
      <c r="R115" s="37" t="str">
        <f aca="false">HYPERLINK("https://amzn.to/2SZ0aZO","link*")</f>
        <v>link*</v>
      </c>
      <c r="S115" s="37" t="str">
        <f aca="false">HYPERLINK("https://www.bhphotovideo.com/c/product/1333230-REG/sony_sel100400gm_fe_100_400mm_f_4_5_5_6_gm.html/BI/19619/KBID/12129/DFF/d10-v21-t1-x817745/SID/EZ","link*")</f>
        <v>link*</v>
      </c>
      <c r="T115" s="71" t="s">
        <v>33</v>
      </c>
      <c r="U115" s="37"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5" s="38"/>
    </row>
    <row r="116" customFormat="false" ht="15.75" hidden="false" customHeight="false" outlineLevel="0" collapsed="false">
      <c r="A116" s="285" t="s">
        <v>162</v>
      </c>
      <c r="B116" s="100" t="n">
        <v>1720</v>
      </c>
      <c r="C116" s="101" t="n">
        <v>105</v>
      </c>
      <c r="D116" s="102" t="n">
        <v>1.4</v>
      </c>
      <c r="E116" s="130" t="n">
        <v>116</v>
      </c>
      <c r="F116" s="131" t="n">
        <v>157.5</v>
      </c>
      <c r="G116" s="107" t="s">
        <v>30</v>
      </c>
      <c r="H116" s="286" t="s">
        <v>163</v>
      </c>
      <c r="I116" s="107" t="n">
        <v>0.12</v>
      </c>
      <c r="J116" s="108" t="n">
        <v>100</v>
      </c>
      <c r="K116" s="105" t="s">
        <v>26</v>
      </c>
      <c r="L116" s="107" t="n">
        <v>9</v>
      </c>
      <c r="M116" s="238" t="n">
        <v>43816</v>
      </c>
      <c r="N116" s="107" t="s">
        <v>164</v>
      </c>
      <c r="O116" s="110" t="n">
        <v>43221</v>
      </c>
      <c r="P116" s="111" t="n">
        <v>1599</v>
      </c>
      <c r="Q116" s="111" t="n">
        <v>1150</v>
      </c>
      <c r="R116" s="112" t="str">
        <f aca="false">HYPERLINK("https://amzn.to/2EWeThZ","link*")</f>
        <v>link*</v>
      </c>
      <c r="S116" s="112" t="str">
        <f aca="false">HYPERLINK("https://www.bhphotovideo.com/c/product/1393488-REG/sigma_105mm_f_1_4_dg_hsm.html/BI/19619/KBID/12129/kw/SI10514SO/DFF/d10-v2-t1-xSI10514SO","link*")</f>
        <v>link*</v>
      </c>
      <c r="T116" s="112" t="str">
        <f aca="false">HYPERLINK("https://amzn.to/2WpOvTy","link*")</f>
        <v>link*</v>
      </c>
      <c r="U116" s="112"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6" s="38"/>
    </row>
    <row r="117" customFormat="false" ht="15.75" hidden="false" customHeight="true" outlineLevel="0" collapsed="false">
      <c r="A117" s="285" t="s">
        <v>165</v>
      </c>
      <c r="B117" s="100" t="n">
        <v>710</v>
      </c>
      <c r="C117" s="101" t="n">
        <v>105</v>
      </c>
      <c r="D117" s="102" t="n">
        <v>2.8</v>
      </c>
      <c r="E117" s="69" t="n">
        <v>78</v>
      </c>
      <c r="F117" s="287" t="n">
        <v>135</v>
      </c>
      <c r="G117" s="107" t="s">
        <v>30</v>
      </c>
      <c r="H117" s="106" t="s">
        <v>67</v>
      </c>
      <c r="I117" s="107" t="n">
        <v>1</v>
      </c>
      <c r="J117" s="108" t="n">
        <v>29.5</v>
      </c>
      <c r="K117" s="105" t="s">
        <v>26</v>
      </c>
      <c r="L117" s="107"/>
      <c r="M117" s="238" t="n">
        <v>44182</v>
      </c>
      <c r="N117" s="107" t="s">
        <v>43</v>
      </c>
      <c r="O117" s="110" t="n">
        <v>44136</v>
      </c>
      <c r="P117" s="111" t="n">
        <v>799</v>
      </c>
      <c r="Q117" s="111"/>
      <c r="R117" s="239"/>
      <c r="S117" s="239"/>
      <c r="T117" s="239"/>
      <c r="U117" s="239"/>
      <c r="V117" s="38"/>
    </row>
    <row r="118" customFormat="false" ht="15.75" hidden="false" customHeight="false" outlineLevel="0" collapsed="false">
      <c r="A118" s="99" t="str">
        <f aca="false">HYPERLINK("https://phillipreeve.net/blog/voigtlander-110mm-f2-5-apo-review/","Voigtlander 110mm F2.5 APO Macro")</f>
        <v>Voigtlander 110mm F2.5 APO Macro</v>
      </c>
      <c r="B118" s="100" t="n">
        <v>771</v>
      </c>
      <c r="C118" s="101" t="n">
        <v>110</v>
      </c>
      <c r="D118" s="102" t="n">
        <v>2.5</v>
      </c>
      <c r="E118" s="130" t="n">
        <v>78</v>
      </c>
      <c r="F118" s="175" t="n">
        <v>100</v>
      </c>
      <c r="G118" s="107" t="s">
        <v>24</v>
      </c>
      <c r="H118" s="106" t="s">
        <v>48</v>
      </c>
      <c r="I118" s="277" t="n">
        <v>1</v>
      </c>
      <c r="J118" s="108" t="n">
        <v>35</v>
      </c>
      <c r="K118" s="105" t="s">
        <v>26</v>
      </c>
      <c r="L118" s="107" t="n">
        <v>10</v>
      </c>
      <c r="M118" s="238" t="n">
        <v>43813</v>
      </c>
      <c r="N118" s="107" t="s">
        <v>28</v>
      </c>
      <c r="O118" s="110" t="n">
        <v>43405</v>
      </c>
      <c r="P118" s="111" t="n">
        <v>1099</v>
      </c>
      <c r="Q118" s="111" t="s">
        <v>36</v>
      </c>
      <c r="R118" s="112" t="str">
        <f aca="false">HYPERLINK("https://amzn.to/2SXYsrm","link*")</f>
        <v>link*</v>
      </c>
      <c r="S118" s="112" t="str">
        <f aca="false">HYPERLINK("https://www.bhphotovideo.com/c/product/1418780-REG/voigtlander_ba349a_macro_apo_lanthar_110mm_f_2_5.html/BI/19619/KBID/12129/kw/VO11025/DFF/d10-v2-t1-xVO11025","link*")</f>
        <v>link*</v>
      </c>
      <c r="T118" s="239" t="s">
        <v>33</v>
      </c>
      <c r="U118" s="112"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18" s="38"/>
    </row>
    <row r="119" customFormat="false" ht="15.75" hidden="false" customHeight="false" outlineLevel="0" collapsed="false">
      <c r="A119" s="113" t="str">
        <f aca="false">HYPERLINK("https://phillipreeve.net/blog/review-sony-fe-135mm-f1-8-gm/","Sony 1.8/135 GM")</f>
        <v>Sony 1.8/135 GM</v>
      </c>
      <c r="B119" s="40" t="n">
        <v>950</v>
      </c>
      <c r="C119" s="41" t="n">
        <v>135</v>
      </c>
      <c r="D119" s="42" t="n">
        <v>1.8</v>
      </c>
      <c r="E119" s="133" t="n">
        <v>90</v>
      </c>
      <c r="F119" s="139" t="n">
        <v>127</v>
      </c>
      <c r="G119" s="47" t="s">
        <v>30</v>
      </c>
      <c r="H119" s="202" t="s">
        <v>52</v>
      </c>
      <c r="I119" s="279" t="n">
        <v>0.25</v>
      </c>
      <c r="J119" s="48" t="n">
        <v>70</v>
      </c>
      <c r="K119" s="45" t="s">
        <v>26</v>
      </c>
      <c r="L119" s="47" t="n">
        <v>11</v>
      </c>
      <c r="M119" s="79" t="n">
        <v>43751</v>
      </c>
      <c r="N119" s="47" t="s">
        <v>32</v>
      </c>
      <c r="O119" s="50" t="n">
        <v>43525</v>
      </c>
      <c r="P119" s="51" t="n">
        <v>1899</v>
      </c>
      <c r="Q119" s="51" t="n">
        <v>1700</v>
      </c>
      <c r="R119" s="52" t="str">
        <f aca="false">HYPERLINK("https://amzn.to/2WtonMJ","link*")</f>
        <v>link*</v>
      </c>
      <c r="S119" s="52" t="str">
        <f aca="false">HYPERLINK("https://www.bhphotovideo.com/c/product/1393495-REG/sigma_135mm_f_1_8_dg_hsm.html/BI/19619/KBID/12129/kw/SI13518SO/DFF/d10-v2-t1-xSI13518SO","link*")</f>
        <v>link*</v>
      </c>
      <c r="T119" s="52" t="str">
        <f aca="false">HYPERLINK("https://amzn.to/2Z9KKDE","link*")</f>
        <v>link*</v>
      </c>
      <c r="U119" s="52"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20" customFormat="false" ht="15.75" hidden="false" customHeight="false" outlineLevel="0" collapsed="false">
      <c r="A120" s="80" t="s">
        <v>166</v>
      </c>
      <c r="B120" s="81" t="n">
        <v>1225</v>
      </c>
      <c r="C120" s="82" t="n">
        <v>135</v>
      </c>
      <c r="D120" s="83" t="n">
        <v>1.8</v>
      </c>
      <c r="E120" s="133" t="n">
        <v>91</v>
      </c>
      <c r="F120" s="139" t="n">
        <v>140.9</v>
      </c>
      <c r="G120" s="86" t="s">
        <v>30</v>
      </c>
      <c r="H120" s="288" t="s">
        <v>52</v>
      </c>
      <c r="I120" s="86" t="n">
        <v>0.2</v>
      </c>
      <c r="J120" s="88" t="n">
        <v>87</v>
      </c>
      <c r="K120" s="89" t="s">
        <v>26</v>
      </c>
      <c r="L120" s="86" t="n">
        <v>9</v>
      </c>
      <c r="M120" s="122" t="n">
        <v>43751</v>
      </c>
      <c r="N120" s="86" t="s">
        <v>43</v>
      </c>
      <c r="O120" s="91" t="n">
        <v>43221</v>
      </c>
      <c r="P120" s="127" t="n">
        <v>1399</v>
      </c>
      <c r="Q120" s="127" t="n">
        <v>900</v>
      </c>
      <c r="R120" s="93" t="str">
        <f aca="false">HYPERLINK("https://amzn.to/2yxIM4R","link*")</f>
        <v>link*</v>
      </c>
      <c r="S120" s="93" t="str">
        <f aca="false">HYPERLINK("https://www.bhphotovideo.com/c/product/1393495-REG/sigma_135mm_f_1_8_dg_hsm.html/BI/19619/KBID/12129/DFF/d10-v21-t1-x881160/SID/EZ","link*")</f>
        <v>link*</v>
      </c>
      <c r="T120" s="94" t="s">
        <v>33</v>
      </c>
      <c r="U120" s="93"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1" customFormat="false" ht="15.75" hidden="false" customHeight="false" outlineLevel="0" collapsed="false">
      <c r="A121" s="284" t="s">
        <v>167</v>
      </c>
      <c r="B121" s="25" t="n">
        <v>614</v>
      </c>
      <c r="C121" s="26" t="n">
        <v>135</v>
      </c>
      <c r="D121" s="27" t="n">
        <v>2.8</v>
      </c>
      <c r="E121" s="130" t="n">
        <v>99</v>
      </c>
      <c r="F121" s="175" t="n">
        <v>120</v>
      </c>
      <c r="G121" s="32" t="s">
        <v>30</v>
      </c>
      <c r="H121" s="31" t="s">
        <v>54</v>
      </c>
      <c r="I121" s="32" t="n">
        <v>0.19</v>
      </c>
      <c r="J121" s="33" t="n">
        <v>87</v>
      </c>
      <c r="K121" s="176" t="s">
        <v>50</v>
      </c>
      <c r="L121" s="32" t="n">
        <v>9</v>
      </c>
      <c r="M121" s="98" t="n">
        <v>43783</v>
      </c>
      <c r="N121" s="32" t="s">
        <v>59</v>
      </c>
      <c r="O121" s="35" t="n">
        <v>42826</v>
      </c>
      <c r="P121" s="36" t="n">
        <v>1699</v>
      </c>
      <c r="Q121" s="36" t="n">
        <v>850</v>
      </c>
      <c r="R121" s="37" t="str">
        <f aca="false">HYPERLINK("https://amzn.to/319GJA4","link*")</f>
        <v>link*</v>
      </c>
      <c r="S121" s="37" t="str">
        <f aca="false">HYPERLINK("https://www.bhphotovideo.com/c/product/1330083-REG/zeiss_2136_695_batis_135mm_f_2_8_lens.html/BI/19619/KBID/12129/DFF/d10-v21-t1-x814884/SID/EZ","link*")</f>
        <v>link*</v>
      </c>
      <c r="T121" s="71" t="s">
        <v>33</v>
      </c>
      <c r="U121" s="37"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1" s="38"/>
    </row>
    <row r="122" customFormat="false" ht="15.75" hidden="false" customHeight="false" outlineLevel="0" collapsed="false">
      <c r="A122" s="289" t="s">
        <v>168</v>
      </c>
      <c r="B122" s="100" t="n">
        <v>1725</v>
      </c>
      <c r="C122" s="101" t="n">
        <v>150</v>
      </c>
      <c r="D122" s="102" t="s">
        <v>169</v>
      </c>
      <c r="E122" s="130" t="n">
        <v>93</v>
      </c>
      <c r="F122" s="175" t="n">
        <v>209.6</v>
      </c>
      <c r="G122" s="107" t="s">
        <v>30</v>
      </c>
      <c r="H122" s="290" t="s">
        <v>52</v>
      </c>
      <c r="I122" s="107" t="n">
        <f aca="false">1/3.1</f>
        <v>0.3225806452</v>
      </c>
      <c r="J122" s="108" t="s">
        <v>170</v>
      </c>
      <c r="K122" s="278" t="s">
        <v>50</v>
      </c>
      <c r="L122" s="107"/>
      <c r="M122" s="291" t="s">
        <v>171</v>
      </c>
      <c r="N122" s="107" t="s">
        <v>56</v>
      </c>
      <c r="O122" s="110" t="n">
        <v>44308</v>
      </c>
      <c r="P122" s="111"/>
      <c r="Q122" s="111"/>
      <c r="R122" s="292"/>
      <c r="S122" s="239"/>
      <c r="T122" s="239"/>
      <c r="U122" s="239"/>
      <c r="V122" s="38"/>
    </row>
    <row r="123" customFormat="false" ht="15.75" hidden="false" customHeight="false" outlineLevel="0" collapsed="false">
      <c r="A123" s="285" t="s">
        <v>172</v>
      </c>
      <c r="B123" s="100" t="n">
        <v>2215</v>
      </c>
      <c r="C123" s="101" t="n">
        <v>200</v>
      </c>
      <c r="D123" s="102" t="s">
        <v>173</v>
      </c>
      <c r="E123" s="130" t="n">
        <v>112</v>
      </c>
      <c r="F123" s="175" t="n">
        <v>318</v>
      </c>
      <c r="G123" s="107" t="s">
        <v>30</v>
      </c>
      <c r="H123" s="290" t="s">
        <v>105</v>
      </c>
      <c r="I123" s="107" t="n">
        <v>0.2</v>
      </c>
      <c r="J123" s="108" t="n">
        <v>240</v>
      </c>
      <c r="K123" s="278" t="s">
        <v>50</v>
      </c>
      <c r="L123" s="107" t="n">
        <v>11</v>
      </c>
      <c r="M123" s="291" t="s">
        <v>174</v>
      </c>
      <c r="N123" s="107" t="s">
        <v>32</v>
      </c>
      <c r="O123" s="110" t="n">
        <v>43647</v>
      </c>
      <c r="P123" s="111" t="n">
        <v>1999</v>
      </c>
      <c r="Q123" s="111" t="n">
        <v>1900</v>
      </c>
      <c r="R123" s="292" t="s">
        <v>33</v>
      </c>
      <c r="S123" s="112" t="str">
        <f aca="false">HYPERLINK("https://www.bhphotovideo.com/c/product/1485540-REG/sony_sel200600g_fe_200_600mm_f_5_6_6_3_g.html/BI/19619/KBID/12129/DFF/d10-v21-t1-x968882/SID/EZ","link*")</f>
        <v>link*</v>
      </c>
      <c r="T123" s="239" t="s">
        <v>33</v>
      </c>
      <c r="U123" s="112"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3" s="38"/>
    </row>
    <row r="124" customFormat="false" ht="15.75" hidden="false" customHeight="false" outlineLevel="0" collapsed="false">
      <c r="A124" s="285" t="s">
        <v>175</v>
      </c>
      <c r="B124" s="100" t="n">
        <v>2895</v>
      </c>
      <c r="C124" s="101" t="n">
        <v>400</v>
      </c>
      <c r="D124" s="102" t="n">
        <v>2.8</v>
      </c>
      <c r="E124" s="130" t="n">
        <v>158</v>
      </c>
      <c r="F124" s="175" t="n">
        <v>359</v>
      </c>
      <c r="G124" s="107" t="s">
        <v>30</v>
      </c>
      <c r="H124" s="106" t="s">
        <v>176</v>
      </c>
      <c r="I124" s="107" t="n">
        <v>0.16</v>
      </c>
      <c r="J124" s="108" t="n">
        <v>270</v>
      </c>
      <c r="K124" s="278" t="s">
        <v>50</v>
      </c>
      <c r="L124" s="107" t="n">
        <v>11</v>
      </c>
      <c r="M124" s="291" t="s">
        <v>177</v>
      </c>
      <c r="N124" s="107" t="s">
        <v>32</v>
      </c>
      <c r="O124" s="110" t="n">
        <v>43313</v>
      </c>
      <c r="P124" s="111" t="n">
        <v>11999</v>
      </c>
      <c r="Q124" s="111" t="s">
        <v>36</v>
      </c>
      <c r="R124" s="239"/>
      <c r="S124" s="112" t="str">
        <f aca="false">HYPERLINK("https://www.bhphotovideo.com/c/product/1369634-REG/sony_fe_400mm_f_2_8_gm.html/BI/19619/KBID/12129/DFF/d10-v21-t1-x905722/SID/EZ","link*")</f>
        <v>link*</v>
      </c>
      <c r="T124" s="239" t="s">
        <v>33</v>
      </c>
      <c r="U124" s="112"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4" s="38"/>
    </row>
    <row r="125" customFormat="false" ht="15.75" hidden="false" customHeight="false" outlineLevel="0" collapsed="false">
      <c r="A125" s="54" t="s">
        <v>178</v>
      </c>
      <c r="B125" s="55" t="n">
        <v>3040</v>
      </c>
      <c r="C125" s="56" t="n">
        <v>600</v>
      </c>
      <c r="D125" s="57" t="n">
        <v>4</v>
      </c>
      <c r="E125" s="133" t="n">
        <v>164</v>
      </c>
      <c r="F125" s="139" t="n">
        <v>449</v>
      </c>
      <c r="G125" s="62" t="s">
        <v>30</v>
      </c>
      <c r="H125" s="61" t="s">
        <v>25</v>
      </c>
      <c r="I125" s="62" t="n">
        <v>0.14</v>
      </c>
      <c r="J125" s="63" t="n">
        <v>451</v>
      </c>
      <c r="K125" s="114" t="s">
        <v>50</v>
      </c>
      <c r="L125" s="62" t="n">
        <v>11</v>
      </c>
      <c r="M125" s="293" t="s">
        <v>179</v>
      </c>
      <c r="N125" s="62" t="s">
        <v>32</v>
      </c>
      <c r="O125" s="65" t="n">
        <v>43678</v>
      </c>
      <c r="P125" s="66" t="n">
        <v>12999</v>
      </c>
      <c r="Q125" s="66" t="s">
        <v>36</v>
      </c>
      <c r="R125" s="140"/>
      <c r="S125" s="52" t="str">
        <f aca="false">HYPERLINK("https://www.bhphotovideo.com/c/product/1485539-REG/sony_sel600f40gm_fe_600mm_f_4_gm.html/BI/19619/KBID/12129/DFF/d10-v21-t1-x968881/SID/EZ","link*")</f>
        <v>link*</v>
      </c>
      <c r="T125" s="140" t="s">
        <v>33</v>
      </c>
      <c r="U125" s="52"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26" customFormat="false" ht="15.75" hidden="false" customHeight="false" outlineLevel="0" collapsed="false">
      <c r="A126" s="294"/>
      <c r="B126" s="295"/>
      <c r="C126" s="296"/>
      <c r="D126" s="297"/>
      <c r="E126" s="133"/>
      <c r="F126" s="139"/>
      <c r="G126" s="69"/>
      <c r="H126" s="298"/>
      <c r="I126" s="69"/>
      <c r="J126" s="299"/>
      <c r="K126" s="69"/>
      <c r="L126" s="69"/>
      <c r="M126" s="69"/>
      <c r="N126" s="69"/>
      <c r="O126" s="242"/>
      <c r="P126" s="300"/>
      <c r="Q126" s="300"/>
      <c r="R126" s="301"/>
      <c r="S126" s="301"/>
      <c r="T126" s="301"/>
      <c r="U126" s="301"/>
    </row>
    <row r="127" customFormat="false" ht="15.75" hidden="false" customHeight="false" outlineLevel="0" collapsed="false">
      <c r="A127" s="294"/>
      <c r="B127" s="295"/>
      <c r="C127" s="296"/>
      <c r="D127" s="297"/>
      <c r="E127" s="133"/>
      <c r="F127" s="139"/>
      <c r="G127" s="69"/>
      <c r="H127" s="298"/>
      <c r="I127" s="69"/>
      <c r="J127" s="299"/>
      <c r="K127" s="69"/>
      <c r="L127" s="69"/>
      <c r="M127" s="69"/>
      <c r="N127" s="69"/>
      <c r="O127" s="242"/>
      <c r="P127" s="300"/>
      <c r="Q127" s="300"/>
      <c r="R127" s="301"/>
      <c r="S127" s="301"/>
      <c r="T127" s="301"/>
      <c r="U127" s="301"/>
    </row>
    <row r="128" customFormat="false" ht="15.75" hidden="false" customHeight="false" outlineLevel="0" collapsed="false">
      <c r="A128" s="294"/>
      <c r="B128" s="295"/>
      <c r="C128" s="296"/>
      <c r="D128" s="297"/>
      <c r="E128" s="133"/>
      <c r="F128" s="139"/>
      <c r="G128" s="69"/>
      <c r="H128" s="298"/>
      <c r="I128" s="69"/>
      <c r="J128" s="299"/>
      <c r="K128" s="69"/>
      <c r="L128" s="69"/>
      <c r="M128" s="69"/>
      <c r="N128" s="69"/>
      <c r="O128" s="242"/>
      <c r="P128" s="300"/>
      <c r="Q128" s="300"/>
      <c r="R128" s="301"/>
      <c r="S128" s="301"/>
      <c r="T128" s="301"/>
      <c r="U128" s="301"/>
    </row>
    <row r="129" customFormat="false" ht="15.75" hidden="false" customHeight="false" outlineLevel="0" collapsed="false">
      <c r="A129" s="294"/>
      <c r="B129" s="295"/>
      <c r="C129" s="296"/>
      <c r="D129" s="297"/>
      <c r="E129" s="133"/>
      <c r="F129" s="139"/>
      <c r="G129" s="69"/>
      <c r="H129" s="298"/>
      <c r="I129" s="69"/>
      <c r="J129" s="299"/>
      <c r="K129" s="69"/>
      <c r="L129" s="69"/>
      <c r="M129" s="69"/>
      <c r="N129" s="69"/>
      <c r="O129" s="242"/>
      <c r="P129" s="300"/>
      <c r="Q129" s="300"/>
      <c r="R129" s="301"/>
      <c r="S129" s="301"/>
      <c r="T129" s="301"/>
      <c r="U129" s="301"/>
    </row>
    <row r="130" customFormat="false" ht="15.75" hidden="false" customHeight="false" outlineLevel="0" collapsed="false">
      <c r="A130" s="294"/>
      <c r="B130" s="295"/>
      <c r="C130" s="296"/>
      <c r="D130" s="297"/>
      <c r="E130" s="133"/>
      <c r="F130" s="134"/>
      <c r="G130" s="69"/>
      <c r="H130" s="298"/>
      <c r="I130" s="69"/>
      <c r="J130" s="299"/>
      <c r="K130" s="69"/>
      <c r="L130" s="69"/>
      <c r="M130" s="69"/>
      <c r="N130" s="69"/>
      <c r="O130" s="242"/>
      <c r="P130" s="300"/>
      <c r="Q130" s="300"/>
      <c r="R130" s="301"/>
      <c r="S130" s="301"/>
      <c r="T130" s="301"/>
      <c r="U130" s="301"/>
    </row>
    <row r="131" customFormat="false" ht="15.75" hidden="false" customHeight="false" outlineLevel="0" collapsed="false">
      <c r="A131" s="294"/>
      <c r="B131" s="295"/>
      <c r="C131" s="296"/>
      <c r="D131" s="297"/>
      <c r="E131" s="133"/>
      <c r="F131" s="139"/>
      <c r="G131" s="69"/>
      <c r="H131" s="298"/>
      <c r="I131" s="69"/>
      <c r="J131" s="299"/>
      <c r="K131" s="69"/>
      <c r="L131" s="69"/>
      <c r="M131" s="69"/>
      <c r="N131" s="69"/>
      <c r="O131" s="242"/>
      <c r="P131" s="300"/>
      <c r="Q131" s="300"/>
      <c r="R131" s="301"/>
      <c r="S131" s="301"/>
      <c r="T131" s="301"/>
      <c r="U131" s="301"/>
    </row>
    <row r="132" customFormat="false" ht="15.75" hidden="false" customHeight="false" outlineLevel="0" collapsed="false">
      <c r="A132" s="294"/>
      <c r="B132" s="295"/>
      <c r="C132" s="296"/>
      <c r="D132" s="297"/>
      <c r="E132" s="133"/>
      <c r="F132" s="139"/>
      <c r="G132" s="69"/>
      <c r="H132" s="298"/>
      <c r="I132" s="69"/>
      <c r="J132" s="299"/>
      <c r="K132" s="69"/>
      <c r="L132" s="69"/>
      <c r="M132" s="69"/>
      <c r="N132" s="69"/>
      <c r="O132" s="242"/>
      <c r="P132" s="300"/>
      <c r="Q132" s="300"/>
      <c r="R132" s="301"/>
      <c r="S132" s="301"/>
      <c r="T132" s="301"/>
      <c r="U132" s="301"/>
    </row>
    <row r="133" customFormat="false" ht="15.75" hidden="false" customHeight="false" outlineLevel="0" collapsed="false">
      <c r="A133" s="294"/>
      <c r="B133" s="295"/>
      <c r="C133" s="296"/>
      <c r="D133" s="297"/>
      <c r="E133" s="133"/>
      <c r="F133" s="139"/>
      <c r="G133" s="69"/>
      <c r="H133" s="298"/>
      <c r="I133" s="69"/>
      <c r="J133" s="299"/>
      <c r="K133" s="69"/>
      <c r="L133" s="69"/>
      <c r="M133" s="69"/>
      <c r="N133" s="69"/>
      <c r="O133" s="242"/>
      <c r="P133" s="300"/>
      <c r="Q133" s="300"/>
      <c r="R133" s="301"/>
      <c r="S133" s="301"/>
      <c r="T133" s="301"/>
      <c r="U133" s="301"/>
    </row>
    <row r="134" customFormat="false" ht="15.75" hidden="false" customHeight="false" outlineLevel="0" collapsed="false">
      <c r="A134" s="294"/>
      <c r="B134" s="295"/>
      <c r="C134" s="296"/>
      <c r="D134" s="297"/>
      <c r="E134" s="133"/>
      <c r="F134" s="139"/>
      <c r="G134" s="69"/>
      <c r="H134" s="298"/>
      <c r="I134" s="69"/>
      <c r="J134" s="299"/>
      <c r="K134" s="69"/>
      <c r="L134" s="69"/>
      <c r="M134" s="69"/>
      <c r="N134" s="69"/>
      <c r="O134" s="242"/>
      <c r="P134" s="300"/>
      <c r="Q134" s="300"/>
      <c r="R134" s="301"/>
      <c r="S134" s="301"/>
      <c r="T134" s="301"/>
      <c r="U134" s="301"/>
    </row>
    <row r="135" customFormat="false" ht="15.75" hidden="false" customHeight="false" outlineLevel="0" collapsed="false">
      <c r="A135" s="294"/>
      <c r="B135" s="295"/>
      <c r="C135" s="296"/>
      <c r="D135" s="297"/>
      <c r="E135" s="133"/>
      <c r="F135" s="139"/>
      <c r="G135" s="69"/>
      <c r="H135" s="298"/>
      <c r="I135" s="69"/>
      <c r="J135" s="299"/>
      <c r="K135" s="69"/>
      <c r="L135" s="69"/>
      <c r="M135" s="69"/>
      <c r="N135" s="69"/>
      <c r="O135" s="242"/>
      <c r="P135" s="300"/>
      <c r="Q135" s="300"/>
      <c r="R135" s="301"/>
      <c r="S135" s="301"/>
      <c r="T135" s="301"/>
      <c r="U135" s="301"/>
    </row>
    <row r="136" customFormat="false" ht="15.75" hidden="false" customHeight="false" outlineLevel="0" collapsed="false">
      <c r="A136" s="294"/>
      <c r="B136" s="295"/>
      <c r="C136" s="296"/>
      <c r="D136" s="297"/>
      <c r="E136" s="133"/>
      <c r="F136" s="134"/>
      <c r="G136" s="69"/>
      <c r="H136" s="298"/>
      <c r="I136" s="69"/>
      <c r="J136" s="299"/>
      <c r="K136" s="69"/>
      <c r="L136" s="69"/>
      <c r="M136" s="69"/>
      <c r="N136" s="69"/>
      <c r="O136" s="242"/>
      <c r="P136" s="300"/>
      <c r="Q136" s="300"/>
      <c r="R136" s="301"/>
      <c r="S136" s="301"/>
      <c r="T136" s="301"/>
      <c r="U136" s="301"/>
    </row>
    <row r="137" customFormat="false" ht="15.75" hidden="false" customHeight="false" outlineLevel="0" collapsed="false">
      <c r="A137" s="294"/>
      <c r="B137" s="295"/>
      <c r="C137" s="296"/>
      <c r="D137" s="297"/>
      <c r="E137" s="133"/>
      <c r="F137" s="139"/>
      <c r="G137" s="69"/>
      <c r="H137" s="298"/>
      <c r="I137" s="69"/>
      <c r="J137" s="299"/>
      <c r="K137" s="69"/>
      <c r="L137" s="69"/>
      <c r="M137" s="69"/>
      <c r="N137" s="69"/>
      <c r="O137" s="242"/>
      <c r="P137" s="300"/>
      <c r="Q137" s="300"/>
      <c r="R137" s="301"/>
      <c r="S137" s="301"/>
      <c r="T137" s="301"/>
      <c r="U137" s="301"/>
    </row>
    <row r="138" customFormat="false" ht="15.75" hidden="false" customHeight="false" outlineLevel="0" collapsed="false">
      <c r="A138" s="294"/>
      <c r="B138" s="295"/>
      <c r="C138" s="296"/>
      <c r="D138" s="297"/>
      <c r="E138" s="196"/>
      <c r="F138" s="197"/>
      <c r="G138" s="69"/>
      <c r="H138" s="298"/>
      <c r="I138" s="69"/>
      <c r="J138" s="299"/>
      <c r="K138" s="69"/>
      <c r="L138" s="69"/>
      <c r="M138" s="69"/>
      <c r="N138" s="69"/>
      <c r="O138" s="242"/>
      <c r="P138" s="300"/>
      <c r="Q138" s="300"/>
      <c r="R138" s="301"/>
      <c r="S138" s="301"/>
      <c r="T138" s="301"/>
      <c r="U138" s="301"/>
    </row>
    <row r="139" customFormat="false" ht="15.75" hidden="false" customHeight="false" outlineLevel="0" collapsed="false">
      <c r="A139" s="294"/>
      <c r="B139" s="295"/>
      <c r="C139" s="296"/>
      <c r="D139" s="297"/>
      <c r="E139" s="302"/>
      <c r="F139" s="302"/>
      <c r="G139" s="69"/>
      <c r="H139" s="298"/>
      <c r="I139" s="69"/>
      <c r="J139" s="299"/>
      <c r="K139" s="69"/>
      <c r="L139" s="69"/>
      <c r="M139" s="69"/>
      <c r="N139" s="69"/>
      <c r="O139" s="242"/>
      <c r="P139" s="300"/>
      <c r="Q139" s="300"/>
      <c r="R139" s="301"/>
      <c r="S139" s="301"/>
      <c r="T139" s="301"/>
      <c r="U139" s="301"/>
    </row>
    <row r="140" customFormat="false" ht="13.8" hidden="false" customHeight="false" outlineLevel="0" collapsed="false">
      <c r="A140" s="294"/>
      <c r="B140" s="295"/>
      <c r="C140" s="296"/>
      <c r="D140" s="297"/>
      <c r="E140" s="302"/>
      <c r="F140" s="302"/>
      <c r="G140" s="69"/>
      <c r="H140" s="298"/>
      <c r="I140" s="69"/>
      <c r="J140" s="299"/>
      <c r="K140" s="69"/>
      <c r="L140" s="69"/>
      <c r="M140" s="69"/>
      <c r="N140" s="69"/>
      <c r="O140" s="242"/>
      <c r="P140" s="300"/>
      <c r="Q140" s="300"/>
      <c r="R140" s="301"/>
      <c r="S140" s="301"/>
      <c r="T140" s="301"/>
      <c r="U140" s="301"/>
    </row>
    <row r="141" customFormat="false" ht="13.8" hidden="false" customHeight="false" outlineLevel="0" collapsed="false">
      <c r="A141" s="294"/>
      <c r="B141" s="295"/>
      <c r="C141" s="296"/>
      <c r="D141" s="297"/>
      <c r="E141" s="302"/>
      <c r="F141" s="302"/>
      <c r="G141" s="69"/>
      <c r="H141" s="298"/>
      <c r="I141" s="69"/>
      <c r="J141" s="299"/>
      <c r="K141" s="69"/>
      <c r="L141" s="69"/>
      <c r="M141" s="69"/>
      <c r="N141" s="69"/>
      <c r="O141" s="242"/>
      <c r="P141" s="300"/>
      <c r="Q141" s="300"/>
      <c r="R141" s="301"/>
      <c r="S141" s="301"/>
      <c r="T141" s="301"/>
      <c r="U141" s="301"/>
    </row>
    <row r="142" customFormat="false" ht="13.8" hidden="false" customHeight="false" outlineLevel="0" collapsed="false">
      <c r="A142" s="294"/>
      <c r="B142" s="295"/>
      <c r="C142" s="296"/>
      <c r="D142" s="297"/>
      <c r="E142" s="302"/>
      <c r="F142" s="302"/>
      <c r="G142" s="69"/>
      <c r="H142" s="298"/>
      <c r="I142" s="69"/>
      <c r="J142" s="299"/>
      <c r="K142" s="69"/>
      <c r="L142" s="69"/>
      <c r="M142" s="69"/>
      <c r="N142" s="69"/>
      <c r="O142" s="242"/>
      <c r="P142" s="300"/>
      <c r="Q142" s="300"/>
      <c r="R142" s="301"/>
      <c r="S142" s="301"/>
      <c r="T142" s="301"/>
      <c r="U142" s="301"/>
    </row>
    <row r="143" customFormat="false" ht="13.8" hidden="false" customHeight="false" outlineLevel="0" collapsed="false">
      <c r="A143" s="294"/>
      <c r="B143" s="295"/>
      <c r="C143" s="296"/>
      <c r="D143" s="297"/>
      <c r="E143" s="302"/>
      <c r="F143" s="302"/>
      <c r="G143" s="69"/>
      <c r="H143" s="298"/>
      <c r="I143" s="69"/>
      <c r="J143" s="299"/>
      <c r="K143" s="69"/>
      <c r="L143" s="69"/>
      <c r="M143" s="69"/>
      <c r="N143" s="69"/>
      <c r="O143" s="242"/>
      <c r="P143" s="300"/>
      <c r="Q143" s="300"/>
      <c r="R143" s="301"/>
      <c r="S143" s="301"/>
      <c r="T143" s="301"/>
      <c r="U143" s="301"/>
    </row>
    <row r="144" customFormat="false" ht="13.8" hidden="false" customHeight="false" outlineLevel="0" collapsed="false">
      <c r="A144" s="294"/>
      <c r="B144" s="295"/>
      <c r="C144" s="296"/>
      <c r="D144" s="297"/>
      <c r="E144" s="302"/>
      <c r="F144" s="302"/>
      <c r="G144" s="69"/>
      <c r="H144" s="298"/>
      <c r="I144" s="69"/>
      <c r="J144" s="299"/>
      <c r="K144" s="69"/>
      <c r="L144" s="69"/>
      <c r="M144" s="69"/>
      <c r="N144" s="69"/>
      <c r="O144" s="242"/>
      <c r="P144" s="300"/>
      <c r="Q144" s="300"/>
      <c r="R144" s="301"/>
      <c r="S144" s="301"/>
      <c r="T144" s="301"/>
      <c r="U144" s="301"/>
    </row>
    <row r="145" customFormat="false" ht="13.8" hidden="false" customHeight="false" outlineLevel="0" collapsed="false">
      <c r="A145" s="294"/>
      <c r="B145" s="295"/>
      <c r="C145" s="296"/>
      <c r="D145" s="297"/>
      <c r="E145" s="302"/>
      <c r="F145" s="302"/>
      <c r="G145" s="69"/>
      <c r="H145" s="298"/>
      <c r="I145" s="69"/>
      <c r="J145" s="299"/>
      <c r="K145" s="69"/>
      <c r="L145" s="69"/>
      <c r="M145" s="69"/>
      <c r="N145" s="69"/>
      <c r="O145" s="242"/>
      <c r="P145" s="300"/>
      <c r="Q145" s="300"/>
      <c r="R145" s="301"/>
      <c r="S145" s="301"/>
      <c r="T145" s="301"/>
      <c r="U145" s="301"/>
    </row>
    <row r="146" customFormat="false" ht="13.8" hidden="false" customHeight="false" outlineLevel="0" collapsed="false">
      <c r="A146" s="303" t="s">
        <v>180</v>
      </c>
      <c r="B146" s="304"/>
      <c r="C146" s="303"/>
      <c r="D146" s="303"/>
      <c r="E146" s="305"/>
      <c r="F146" s="306"/>
      <c r="G146" s="303"/>
      <c r="H146" s="307"/>
      <c r="I146" s="303"/>
      <c r="J146" s="303"/>
      <c r="K146" s="303"/>
      <c r="L146" s="303"/>
      <c r="M146" s="303"/>
      <c r="N146" s="303"/>
      <c r="O146" s="303"/>
      <c r="P146" s="303"/>
      <c r="Q146" s="303"/>
      <c r="R146" s="308"/>
      <c r="S146" s="308"/>
      <c r="T146" s="308"/>
      <c r="U146" s="308"/>
    </row>
    <row r="147" customFormat="false" ht="15.75" hidden="false" customHeight="false" outlineLevel="0" collapsed="false">
      <c r="A147" s="69" t="s">
        <v>181</v>
      </c>
      <c r="B147" s="309" t="n">
        <f aca="false">COUNT(C2:C144)</f>
        <v>122</v>
      </c>
      <c r="D147" s="69"/>
      <c r="E147" s="302"/>
      <c r="F147" s="310"/>
      <c r="G147" s="69"/>
      <c r="H147" s="298"/>
      <c r="I147" s="69"/>
      <c r="J147" s="69"/>
      <c r="K147" s="69"/>
      <c r="L147" s="69"/>
      <c r="M147" s="69"/>
      <c r="N147" s="69"/>
      <c r="O147" s="69"/>
      <c r="P147" s="69"/>
      <c r="Q147" s="69"/>
      <c r="R147" s="301"/>
      <c r="S147" s="301"/>
      <c r="T147" s="301"/>
    </row>
    <row r="148" customFormat="false" ht="13.8" hidden="false" customHeight="false" outlineLevel="0" collapsed="false">
      <c r="A148" s="311" t="s">
        <v>182</v>
      </c>
      <c r="E148" s="302"/>
      <c r="F148" s="310"/>
      <c r="H148" s="298"/>
    </row>
    <row r="149" customFormat="false" ht="13.8" hidden="false" customHeight="false" outlineLevel="0" collapsed="false">
      <c r="A149" s="294"/>
      <c r="B149" s="69"/>
      <c r="C149" s="69"/>
      <c r="D149" s="69"/>
      <c r="E149" s="302"/>
      <c r="F149" s="310"/>
      <c r="G149" s="69"/>
      <c r="H149" s="298"/>
      <c r="I149" s="69"/>
      <c r="J149" s="69"/>
      <c r="K149" s="69"/>
      <c r="L149" s="69"/>
      <c r="M149" s="69"/>
      <c r="N149" s="69"/>
      <c r="O149" s="69"/>
      <c r="P149" s="69"/>
      <c r="Q149" s="69"/>
      <c r="R149" s="301"/>
      <c r="S149" s="301"/>
      <c r="T149" s="301"/>
      <c r="U149" s="301"/>
    </row>
    <row r="150" customFormat="false" ht="13.8" hidden="false" customHeight="false" outlineLevel="0" collapsed="false">
      <c r="A150" s="312" t="str">
        <f aca="false">HYPERLINK("https://phillipreeve.net/blog/sony-fe-lenses/fe-list/","If you have a question or want to report any mistake please leave a comment on the blog.")</f>
        <v>If you have a question or want to report any mistake please leave a comment on the blog.</v>
      </c>
      <c r="B150" s="313"/>
      <c r="C150" s="313"/>
      <c r="D150" s="313"/>
      <c r="E150" s="314"/>
      <c r="F150" s="315"/>
      <c r="G150" s="313"/>
      <c r="H150" s="316"/>
      <c r="I150" s="313"/>
    </row>
    <row r="151" customFormat="false" ht="13.8" hidden="false" customHeight="false" outlineLevel="0" collapsed="false">
      <c r="E151" s="302"/>
      <c r="F151" s="310"/>
    </row>
    <row r="152" customFormat="false" ht="13.8" hidden="false" customHeight="false" outlineLevel="0" collapsed="false">
      <c r="A152" s="294" t="s">
        <v>183</v>
      </c>
      <c r="E152" s="302"/>
      <c r="F152" s="310"/>
      <c r="H152" s="298"/>
    </row>
    <row r="153" customFormat="false" ht="13.8" hidden="false" customHeight="false" outlineLevel="0" collapsed="false">
      <c r="A153" s="317" t="str">
        <f aca="false">HYPERLINK("https://phillipreeve.net/blog/fe-lenses-sony-comprehensive-independent-guide/","Our Guide to FE-mount lenses - If you need any help on finding the right lens.")</f>
        <v>Our Guide to FE-mount lenses - If you need any help on finding the right lens.</v>
      </c>
      <c r="E153" s="302"/>
      <c r="F153" s="310"/>
      <c r="H153" s="298"/>
    </row>
    <row r="154" customFormat="false" ht="13.8" hidden="false" customHeight="false" outlineLevel="0" collapsed="false">
      <c r="A154" s="317" t="str">
        <f aca="false">HYPERLINK("https://phillipreeve.net/blog/9-golden-rules-to-buy-the-wrong-lens/","10 golden rules to buy the wrong lens.")</f>
        <v>10 golden rules to buy the wrong lens.</v>
      </c>
      <c r="E154" s="302"/>
      <c r="F154" s="310"/>
      <c r="H154" s="298"/>
    </row>
    <row r="155" customFormat="false" ht="13.8" hidden="false" customHeight="false" outlineLevel="0" collapsed="false">
      <c r="A155" s="317" t="str">
        <f aca="false">HYPERLINK("https://phillipreeve.net/blog/user-guide-ultra-wideangle-lenses-sony-alpha-7-series/","Our Guide to Ultra-Wideangle lenses")</f>
        <v>Our Guide to Ultra-Wideangle lenses</v>
      </c>
      <c r="E155" s="302"/>
      <c r="F155" s="310"/>
      <c r="H155" s="298"/>
    </row>
    <row r="156" customFormat="false" ht="13.8" hidden="false" customHeight="false" outlineLevel="0" collapsed="false">
      <c r="A156" s="317" t="str">
        <f aca="false">HYPERLINK("https://phillipreeve.net/blog/wideangle-lenses-for-the-sony-alpha-7-series/","Our Guide to Wideangle lenses")</f>
        <v>Our Guide to Wideangle lenses</v>
      </c>
      <c r="E156" s="302"/>
      <c r="F156" s="310"/>
      <c r="H156" s="298"/>
    </row>
    <row r="157" customFormat="false" ht="16.4" hidden="false" customHeight="false" outlineLevel="0" collapsed="false">
      <c r="A157" s="283" t="s">
        <v>184</v>
      </c>
      <c r="E157" s="302"/>
      <c r="F157" s="310"/>
      <c r="H157" s="298"/>
    </row>
    <row r="158" customFormat="false" ht="16.4" hidden="false" customHeight="false" outlineLevel="0" collapsed="false">
      <c r="A158" s="283" t="s">
        <v>185</v>
      </c>
      <c r="E158" s="302"/>
      <c r="F158" s="310"/>
      <c r="H158" s="298"/>
    </row>
    <row r="159" customFormat="false" ht="13.8" hidden="false" customHeight="false" outlineLevel="0" collapsed="false">
      <c r="A159" s="317" t="str">
        <f aca="false">HYPERLINK("https://phillipreeve.net/blog/guide-to-macro-lenses-for-the-sony-a7-series/","Our Guide to Macro lenses")</f>
        <v>Our Guide to Macro lenses</v>
      </c>
      <c r="E159" s="302"/>
      <c r="F159" s="310"/>
      <c r="H159" s="298"/>
    </row>
    <row r="160" customFormat="false" ht="13.8" hidden="false" customHeight="false" outlineLevel="0" collapsed="false">
      <c r="A160" s="317" t="str">
        <f aca="false">HYPERLINK("https://phillipreeve.net/blog/user-guide-to-portrait-lenses-sony-a7-series/","Our Guide to Portrait lenses")</f>
        <v>Our Guide to Portrait lenses</v>
      </c>
      <c r="E160" s="302"/>
      <c r="F160" s="310"/>
      <c r="H160" s="298"/>
    </row>
    <row r="161" customFormat="false" ht="13.8" hidden="false" customHeight="false" outlineLevel="0" collapsed="false">
      <c r="A161" s="317" t="str">
        <f aca="false">HYPERLINK("https://phillipreeve.net/blog/building-a-lens-kit/","Building a lens kit")</f>
        <v>Building a lens kit</v>
      </c>
      <c r="E161" s="302"/>
      <c r="F161" s="310"/>
      <c r="H161" s="298"/>
    </row>
    <row r="162" customFormat="false" ht="13.8" hidden="false" customHeight="false" outlineLevel="0" collapsed="false">
      <c r="A162" s="69"/>
    </row>
    <row r="163" customFormat="false" ht="13.8" hidden="false" customHeight="false" outlineLevel="0" collapsed="false">
      <c r="A163" s="294" t="s">
        <v>186</v>
      </c>
    </row>
    <row r="164" customFormat="false" ht="13.8" hidden="false" customHeight="false" outlineLevel="0" collapsed="false">
      <c r="A164" s="69" t="s">
        <v>187</v>
      </c>
    </row>
    <row r="165" customFormat="false" ht="13.8" hidden="false" customHeight="false" outlineLevel="0" collapsed="false">
      <c r="A165" s="69" t="s">
        <v>188</v>
      </c>
    </row>
    <row r="166" customFormat="false" ht="13.8" hidden="false" customHeight="false" outlineLevel="0" collapsed="false">
      <c r="A166" s="69" t="s">
        <v>189</v>
      </c>
    </row>
    <row r="167" customFormat="false" ht="13.8" hidden="false" customHeight="false" outlineLevel="0" collapsed="false">
      <c r="A167" s="69" t="s">
        <v>190</v>
      </c>
    </row>
    <row r="168" customFormat="false" ht="13.8" hidden="false" customHeight="false" outlineLevel="0" collapsed="false">
      <c r="A168" s="294"/>
    </row>
    <row r="169" customFormat="false" ht="13.8" hidden="false" customHeight="false" outlineLevel="0" collapsed="false">
      <c r="A169" s="294" t="s">
        <v>191</v>
      </c>
    </row>
    <row r="170" customFormat="false" ht="13.8" hidden="false" customHeight="false" outlineLevel="0" collapsed="false">
      <c r="A170" s="69" t="s">
        <v>192</v>
      </c>
      <c r="D170" s="294"/>
    </row>
    <row r="171" customFormat="false" ht="13.8" hidden="false" customHeight="false" outlineLevel="0" collapsed="false">
      <c r="D171" s="294"/>
    </row>
    <row r="172" customFormat="false" ht="13.8" hidden="false" customHeight="false" outlineLevel="0" collapsed="false"/>
    <row r="173" customFormat="false" ht="13.8" hidden="false" customHeight="false" outlineLevel="0" collapsed="false">
      <c r="A173" s="317" t="str">
        <f aca="false">HYPERLINK("https://phillipreeve.net/blog/impressum/","Impressum")</f>
        <v>Impressum</v>
      </c>
    </row>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5.75" hidden="false" customHeight="false" outlineLevel="0" collapsed="false">
      <c r="A179" s="294"/>
    </row>
    <row r="180" customFormat="false" ht="15.75" hidden="false" customHeight="false" outlineLevel="0" collapsed="false">
      <c r="A180" s="294"/>
    </row>
    <row r="181" customFormat="false" ht="15.75" hidden="false" customHeight="false" outlineLevel="0" collapsed="false">
      <c r="A181" s="294"/>
    </row>
    <row r="182" customFormat="false" ht="15.75" hidden="false" customHeight="false" outlineLevel="0" collapsed="false">
      <c r="A182" s="294"/>
    </row>
    <row r="183" customFormat="false" ht="15.75" hidden="false" customHeight="false" outlineLevel="0" collapsed="false">
      <c r="A183" s="294"/>
    </row>
    <row r="184" customFormat="false" ht="15.75" hidden="false" customHeight="false" outlineLevel="0" collapsed="false">
      <c r="A184" s="294"/>
    </row>
    <row r="185" customFormat="false" ht="15.75" hidden="false" customHeight="false" outlineLevel="0" collapsed="false">
      <c r="A185" s="294"/>
    </row>
    <row r="186" customFormat="false" ht="15.75" hidden="false" customHeight="false" outlineLevel="0" collapsed="false">
      <c r="A186" s="294"/>
    </row>
    <row r="187" customFormat="false" ht="15.75" hidden="false" customHeight="false" outlineLevel="0" collapsed="false">
      <c r="A187" s="294"/>
    </row>
    <row r="188" customFormat="false" ht="15.75" hidden="false" customHeight="false" outlineLevel="0" collapsed="false">
      <c r="A188" s="294"/>
    </row>
    <row r="189" customFormat="false" ht="15.75" hidden="false" customHeight="false" outlineLevel="0" collapsed="false">
      <c r="A189" s="294"/>
    </row>
    <row r="190" customFormat="false" ht="15.75" hidden="false" customHeight="false" outlineLevel="0" collapsed="false">
      <c r="A190" s="294"/>
    </row>
    <row r="191" customFormat="false" ht="15.75" hidden="false" customHeight="false" outlineLevel="0" collapsed="false">
      <c r="A191" s="294"/>
    </row>
    <row r="192" customFormat="false" ht="15.75" hidden="false" customHeight="false" outlineLevel="0" collapsed="false">
      <c r="A192" s="294"/>
    </row>
    <row r="193" customFormat="false" ht="15.75" hidden="false" customHeight="false" outlineLevel="0" collapsed="false">
      <c r="A193" s="294"/>
    </row>
    <row r="194" customFormat="false" ht="15.75" hidden="false" customHeight="false" outlineLevel="0" collapsed="false">
      <c r="A194" s="294"/>
    </row>
    <row r="195" customFormat="false" ht="15.75" hidden="false" customHeight="false" outlineLevel="0" collapsed="false">
      <c r="A195" s="294"/>
    </row>
    <row r="196" customFormat="false" ht="15.75" hidden="false" customHeight="false" outlineLevel="0" collapsed="false">
      <c r="A196" s="294"/>
    </row>
    <row r="197" customFormat="false" ht="15.75" hidden="false" customHeight="false" outlineLevel="0" collapsed="false">
      <c r="A197" s="294"/>
    </row>
    <row r="198" customFormat="false" ht="15.75" hidden="false" customHeight="false" outlineLevel="0" collapsed="false">
      <c r="A198" s="294"/>
    </row>
    <row r="199" customFormat="false" ht="15.75" hidden="false" customHeight="false" outlineLevel="0" collapsed="false">
      <c r="A199" s="294"/>
    </row>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row r="1020" customFormat="false" ht="15.75" hidden="false" customHeight="false" outlineLevel="0" collapsed="false"/>
    <row r="1021" customFormat="false" ht="15.75" hidden="false" customHeight="false" outlineLevel="0" collapsed="false"/>
    <row r="1022" customFormat="false" ht="15.75" hidden="false" customHeight="false" outlineLevel="0" collapsed="false"/>
    <row r="1023" customFormat="false" ht="15.75" hidden="false" customHeight="false" outlineLevel="0" collapsed="false"/>
    <row r="1024" customFormat="false" ht="15.75" hidden="false" customHeight="false" outlineLevel="0" collapsed="false"/>
    <row r="1025" customFormat="false" ht="15.75" hidden="false" customHeight="false" outlineLevel="0" collapsed="false"/>
    <row r="1026" customFormat="false" ht="15.75" hidden="false" customHeight="false" outlineLevel="0" collapsed="false"/>
    <row r="1027" customFormat="false" ht="15.75" hidden="false" customHeight="false" outlineLevel="0" collapsed="false"/>
    <row r="1028" customFormat="false" ht="15.75" hidden="false" customHeight="false" outlineLevel="0" collapsed="false"/>
    <row r="1029" customFormat="false" ht="15.75" hidden="false" customHeight="false" outlineLevel="0" collapsed="false"/>
    <row r="1030" customFormat="false" ht="15.75" hidden="false" customHeight="false" outlineLevel="0" collapsed="false"/>
    <row r="1031" customFormat="false" ht="15.75" hidden="false" customHeight="false" outlineLevel="0" collapsed="false"/>
    <row r="1032" customFormat="false" ht="15.75" hidden="false" customHeight="false" outlineLevel="0" collapsed="false"/>
    <row r="1033" customFormat="false" ht="15.75" hidden="false" customHeight="false" outlineLevel="0" collapsed="false"/>
    <row r="1034" customFormat="false" ht="15.75" hidden="false" customHeight="false" outlineLevel="0" collapsed="false"/>
    <row r="1035" customFormat="false" ht="15.75" hidden="false" customHeight="false" outlineLevel="0" collapsed="false"/>
    <row r="1036" customFormat="false" ht="15.75" hidden="false" customHeight="false" outlineLevel="0" collapsed="false"/>
    <row r="1037" customFormat="false" ht="15.75" hidden="false" customHeight="false" outlineLevel="0" collapsed="false"/>
    <row r="1038" customFormat="false" ht="15.75" hidden="false" customHeight="false" outlineLevel="0" collapsed="false"/>
    <row r="1039" customFormat="false" ht="15.75" hidden="false" customHeight="false" outlineLevel="0" collapsed="false"/>
    <row r="1040" customFormat="false" ht="15.75" hidden="false" customHeight="false" outlineLevel="0" collapsed="false"/>
    <row r="1041" customFormat="false" ht="15.75" hidden="false" customHeight="false" outlineLevel="0" collapsed="false"/>
    <row r="1042" customFormat="false" ht="15.75" hidden="false" customHeight="false" outlineLevel="0" collapsed="false"/>
    <row r="1043" customFormat="false" ht="15.75" hidden="false" customHeight="false" outlineLevel="0" collapsed="false"/>
    <row r="1044" customFormat="false" ht="15.75" hidden="false" customHeight="false" outlineLevel="0" collapsed="false"/>
    <row r="1045" customFormat="false" ht="15.75" hidden="false" customHeight="false" outlineLevel="0" collapsed="false"/>
    <row r="1046" customFormat="false" ht="15.75" hidden="false" customHeight="false" outlineLevel="0" collapsed="false"/>
    <row r="1047" customFormat="false" ht="15.75" hidden="false" customHeight="false" outlineLevel="0" collapsed="false"/>
    <row r="1048" customFormat="false" ht="15.75" hidden="false" customHeight="false" outlineLevel="0" collapsed="false"/>
    <row r="1049" customFormat="false" ht="15.75" hidden="false" customHeight="false" outlineLevel="0" collapsed="false"/>
    <row r="1050" customFormat="false" ht="15.75" hidden="false" customHeight="false" outlineLevel="0" collapsed="false"/>
    <row r="1051" customFormat="false" ht="15.75" hidden="false" customHeight="false" outlineLevel="0" collapsed="false"/>
    <row r="1052" customFormat="false" ht="15.75" hidden="false" customHeight="false" outlineLevel="0" collapsed="false"/>
    <row r="1053" customFormat="false" ht="15.75" hidden="false" customHeight="false" outlineLevel="0" collapsed="false"/>
    <row r="1054" customFormat="false" ht="15.75" hidden="false" customHeight="false" outlineLevel="0" collapsed="false"/>
    <row r="1055" customFormat="false" ht="15.75" hidden="false" customHeight="false" outlineLevel="0" collapsed="false"/>
    <row r="1056" customFormat="false" ht="15.75" hidden="false" customHeight="false" outlineLevel="0" collapsed="false"/>
    <row r="1057" customFormat="false" ht="15.75" hidden="false" customHeight="false" outlineLevel="0" collapsed="false"/>
    <row r="1058" customFormat="false" ht="15.75" hidden="false" customHeight="false" outlineLevel="0" collapsed="false"/>
    <row r="1059" customFormat="false" ht="15.75" hidden="false" customHeight="false" outlineLevel="0" collapsed="false"/>
    <row r="1060" customFormat="false" ht="15.75" hidden="false" customHeight="false" outlineLevel="0" collapsed="false"/>
    <row r="1061" customFormat="false" ht="15.75" hidden="false" customHeight="false" outlineLevel="0" collapsed="false"/>
    <row r="1062" customFormat="false" ht="15.75" hidden="false" customHeight="false" outlineLevel="0" collapsed="false"/>
    <row r="1063" customFormat="false" ht="15.75" hidden="false" customHeight="false" outlineLevel="0" collapsed="false"/>
    <row r="1064" customFormat="false" ht="15.75" hidden="false" customHeight="false" outlineLevel="0" collapsed="false"/>
    <row r="1065" customFormat="false" ht="15.75" hidden="false" customHeight="false" outlineLevel="0" collapsed="false"/>
    <row r="1066" customFormat="false" ht="15.75" hidden="false" customHeight="false" outlineLevel="0" collapsed="false"/>
    <row r="1067" customFormat="false" ht="15.75" hidden="false" customHeight="false" outlineLevel="0" collapsed="false"/>
    <row r="1068" customFormat="false" ht="15.75" hidden="false" customHeight="false" outlineLevel="0" collapsed="false"/>
    <row r="1069" customFormat="false" ht="15.75" hidden="false" customHeight="false" outlineLevel="0" collapsed="false"/>
    <row r="1070" customFormat="false" ht="15.75" hidden="false" customHeight="false" outlineLevel="0" collapsed="false"/>
    <row r="1071" customFormat="false" ht="15.75" hidden="false" customHeight="false" outlineLevel="0" collapsed="false"/>
    <row r="1072" customFormat="false" ht="15.75" hidden="false" customHeight="false" outlineLevel="0" collapsed="false"/>
    <row r="1073" customFormat="false" ht="15.75" hidden="false" customHeight="false" outlineLevel="0" collapsed="false"/>
    <row r="1074" customFormat="false" ht="15.75" hidden="false" customHeight="false" outlineLevel="0" collapsed="false"/>
    <row r="1075" customFormat="false" ht="15.75" hidden="false" customHeight="false" outlineLevel="0" collapsed="false"/>
    <row r="1076" customFormat="false" ht="15.75" hidden="false" customHeight="false" outlineLevel="0" collapsed="false"/>
    <row r="1077" customFormat="false" ht="15.75" hidden="false" customHeight="false" outlineLevel="0" collapsed="false"/>
    <row r="1078" customFormat="false" ht="15.75" hidden="false" customHeight="false" outlineLevel="0" collapsed="false"/>
    <row r="1079" customFormat="false" ht="15.75" hidden="false" customHeight="false" outlineLevel="0" collapsed="false"/>
    <row r="1080" customFormat="false" ht="15.75" hidden="false" customHeight="false" outlineLevel="0" collapsed="false"/>
    <row r="1081" customFormat="false" ht="15.75" hidden="false" customHeight="false" outlineLevel="0" collapsed="false"/>
    <row r="1082" customFormat="false" ht="15.75" hidden="false" customHeight="false" outlineLevel="0" collapsed="false"/>
    <row r="1083" customFormat="false" ht="15.75" hidden="false" customHeight="false" outlineLevel="0" collapsed="false"/>
    <row r="1084" customFormat="false" ht="15.75" hidden="false" customHeight="false" outlineLevel="0" collapsed="false"/>
    <row r="1085" customFormat="false" ht="15.75" hidden="false" customHeight="false" outlineLevel="0" collapsed="false"/>
    <row r="1086" customFormat="false" ht="15.75" hidden="false" customHeight="false" outlineLevel="0" collapsed="false"/>
    <row r="1087" customFormat="false" ht="15.75" hidden="false" customHeight="false" outlineLevel="0" collapsed="false"/>
    <row r="1088" customFormat="false" ht="15.75" hidden="false" customHeight="false" outlineLevel="0" collapsed="false"/>
    <row r="1089" customFormat="false" ht="15.75" hidden="false" customHeight="false" outlineLevel="0" collapsed="false"/>
    <row r="1090" customFormat="false" ht="15.75" hidden="false" customHeight="false" outlineLevel="0" collapsed="false"/>
    <row r="1091" customFormat="false" ht="15.75" hidden="false" customHeight="false" outlineLevel="0" collapsed="false"/>
    <row r="1092" customFormat="false" ht="15.75" hidden="false" customHeight="false" outlineLevel="0" collapsed="false"/>
    <row r="1093" customFormat="false" ht="15.75" hidden="false" customHeight="false" outlineLevel="0" collapsed="false"/>
    <row r="1094" customFormat="false" ht="15.75" hidden="false" customHeight="false" outlineLevel="0" collapsed="false"/>
    <row r="1095" customFormat="false" ht="15.75" hidden="false" customHeight="false" outlineLevel="0" collapsed="false"/>
    <row r="1096" customFormat="false" ht="15.75" hidden="false" customHeight="false" outlineLevel="0" collapsed="false"/>
    <row r="1097" customFormat="false" ht="15.75" hidden="false" customHeight="false" outlineLevel="0" collapsed="false"/>
    <row r="1098" customFormat="false" ht="15.75" hidden="false" customHeight="false" outlineLevel="0" collapsed="false"/>
    <row r="1099" customFormat="false" ht="15.75" hidden="false" customHeight="false" outlineLevel="0" collapsed="false"/>
    <row r="1100" customFormat="false" ht="15.75" hidden="false" customHeight="false" outlineLevel="0" collapsed="false"/>
    <row r="1101" customFormat="false" ht="15.75" hidden="false" customHeight="false" outlineLevel="0" collapsed="false"/>
    <row r="1102" customFormat="false" ht="15.75" hidden="false" customHeight="false" outlineLevel="0" collapsed="false"/>
    <row r="1103" customFormat="false" ht="15.75" hidden="false" customHeight="false" outlineLevel="0" collapsed="false"/>
    <row r="1104" customFormat="false" ht="15.75" hidden="false" customHeight="false" outlineLevel="0" collapsed="false"/>
    <row r="1105" customFormat="false" ht="15.75" hidden="false" customHeight="false" outlineLevel="0" collapsed="false"/>
    <row r="1106" customFormat="false" ht="15.75" hidden="false" customHeight="false" outlineLevel="0" collapsed="false"/>
    <row r="1107" customFormat="false" ht="15.75" hidden="false" customHeight="false" outlineLevel="0" collapsed="false"/>
    <row r="1108" customFormat="false" ht="15.75" hidden="false" customHeight="false" outlineLevel="0" collapsed="false"/>
    <row r="1109" customFormat="false" ht="15.75" hidden="false" customHeight="false" outlineLevel="0" collapsed="false"/>
  </sheetData>
  <autoFilter ref="O1:O1109"/>
  <conditionalFormatting sqref="B1 B3:B46 B48:B1109">
    <cfRule type="cellIs" priority="2" operator="between" aboveAverage="0" equalAverage="0" bottom="0" percent="0" rank="0" text="" dxfId="2">
      <formula>50</formula>
      <formula>200</formula>
    </cfRule>
  </conditionalFormatting>
  <conditionalFormatting sqref="B1 B3:B46 B48:B1109">
    <cfRule type="cellIs" priority="3" operator="between" aboveAverage="0" equalAverage="0" bottom="0" percent="0" rank="0" text="" dxfId="3">
      <formula>201</formula>
      <formula>400</formula>
    </cfRule>
  </conditionalFormatting>
  <conditionalFormatting sqref="B3:B46 B48:B1104">
    <cfRule type="cellIs" priority="4" operator="between" aboveAverage="0" equalAverage="0" bottom="0" percent="0" rank="0" text="" dxfId="4">
      <formula>401</formula>
      <formula>650</formula>
    </cfRule>
  </conditionalFormatting>
  <conditionalFormatting sqref="B3:B46 B48:B1104">
    <cfRule type="cellIs" priority="5" operator="between" aboveAverage="0" equalAverage="0" bottom="0" percent="0" rank="0" text="" dxfId="5">
      <formula>651</formula>
      <formula>900</formula>
    </cfRule>
  </conditionalFormatting>
  <conditionalFormatting sqref="B3:B46 B48:B1104">
    <cfRule type="cellIs" priority="6" operator="greaterThan" aboveAverage="0" equalAverage="0" bottom="0" percent="0" rank="0" text="" dxfId="6">
      <formula>900</formula>
    </cfRule>
  </conditionalFormatting>
  <conditionalFormatting sqref="K3:K1104">
    <cfRule type="containsText" priority="7" operator="containsText" aboveAverage="0" equalAverage="0" bottom="0" percent="0" rank="0" text="yes" dxfId="7">
      <formula>NOT(ISERROR(SEARCH("yes",K3)))</formula>
    </cfRule>
  </conditionalFormatting>
  <conditionalFormatting sqref="F1:F1109">
    <cfRule type="colorScale" priority="8">
      <colorScale>
        <cfvo type="min" val="0"/>
        <cfvo type="formula" val="150"/>
        <color rgb="FFEAD1DC"/>
        <color rgb="FFA64D79"/>
      </colorScale>
    </cfRule>
  </conditionalFormatting>
  <conditionalFormatting sqref="D3:D125">
    <cfRule type="colorScale" priority="9">
      <colorScale>
        <cfvo type="formula" val="1.2"/>
        <cfvo type="formula" val="4"/>
        <color rgb="FF0B5394"/>
        <color rgb="FFFFFFFF"/>
      </colorScale>
    </cfRule>
  </conditionalFormatting>
  <conditionalFormatting sqref="E3:E125">
    <cfRule type="colorScale" priority="10">
      <colorScale>
        <cfvo type="formula" val="65"/>
        <cfvo type="formula" val="100"/>
        <color rgb="FFD9D2E9"/>
        <color rgb="FF674EA7"/>
      </colorScale>
    </cfRule>
  </conditionalFormatting>
  <conditionalFormatting sqref="D3:D125">
    <cfRule type="containsText" priority="11" operator="containsText" aboveAverage="0" equalAverage="0" bottom="0" percent="0" rank="0" text="1.2" dxfId="8">
      <formula>NOT(ISERROR(SEARCH("1.2",D3)))</formula>
    </cfRule>
  </conditionalFormatting>
  <conditionalFormatting sqref="D14">
    <cfRule type="expression" priority="12" aboveAverage="0" equalAverage="0" bottom="0" percent="0" rank="0" text="" dxfId="9">
      <formula>LEN(TRIM(D14))&gt;0</formula>
    </cfRule>
  </conditionalFormatting>
  <conditionalFormatting sqref="D3:D125">
    <cfRule type="containsText" priority="13" operator="containsText" aboveAverage="0" equalAverage="0" bottom="0" percent="0" rank="0" text="1.4" dxfId="10">
      <formula>NOT(ISERROR(SEARCH("1.4",D3)))</formula>
    </cfRule>
  </conditionalFormatting>
  <conditionalFormatting sqref="D3:D144">
    <cfRule type="containsText" priority="14" operator="containsText" aboveAverage="0" equalAverage="0" bottom="0" percent="0" rank="0" text="1.8" dxfId="11">
      <formula>NOT(ISERROR(SEARCH("1.8",D3)))</formula>
    </cfRule>
  </conditionalFormatting>
  <conditionalFormatting sqref="A3:A143">
    <cfRule type="expression" priority="15" aboveAverage="0" equalAverage="0" bottom="0" percent="0" rank="0" text="" dxfId="12">
      <formula>(TODAY()-O3)&lt;0</formula>
    </cfRule>
  </conditionalFormatting>
  <conditionalFormatting sqref="A3:A143">
    <cfRule type="expression" priority="16" aboveAverage="0" equalAverage="0" bottom="0" percent="0" rank="0" text="" dxfId="9">
      <formula>(TODAY()-O3)&lt;180</formula>
    </cfRule>
  </conditionalFormatting>
  <conditionalFormatting sqref="G3:G145">
    <cfRule type="cellIs" priority="17" operator="equal" aboveAverage="0" equalAverage="0" bottom="0" percent="0" rank="0" text="" dxfId="12">
      <formula>"MF"</formula>
    </cfRule>
  </conditionalFormatting>
  <conditionalFormatting sqref="I3:I145">
    <cfRule type="cellIs" priority="18" operator="between" aboveAverage="0" equalAverage="0" bottom="0" percent="0" rank="0" text="" dxfId="13">
      <formula>0.24</formula>
      <formula>0.45</formula>
    </cfRule>
  </conditionalFormatting>
  <conditionalFormatting sqref="I3:I145">
    <cfRule type="cellIs" priority="19" operator="between" aboveAverage="0" equalAverage="0" bottom="0" percent="0" rank="0" text="" dxfId="14">
      <formula>0.45</formula>
      <formula>0.99</formula>
    </cfRule>
  </conditionalFormatting>
  <conditionalFormatting sqref="I3:I145">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N125" type="list">
      <formula1>"Sony,Voigtlander,Zeiss,Sigma,Samyang,Viltrox,Tokina,Tamron"</formula1>
      <formula2>0</formula2>
    </dataValidation>
  </dataValidations>
  <hyperlinks>
    <hyperlink ref="R1" r:id="rId1" display="Amazon.com"/>
    <hyperlink ref="T1" r:id="rId2" display="Amazon.de"/>
    <hyperlink ref="U1" r:id="rId3" display="Ebay.com"/>
    <hyperlink ref="U4" r:id="rId4" display="link*"/>
    <hyperlink ref="S5" r:id="rId5" display="link*"/>
    <hyperlink ref="U5" r:id="rId6" display="link*"/>
    <hyperlink ref="R16" r:id="rId7" display="link*"/>
    <hyperlink ref="R22" r:id="rId8" display="link*"/>
    <hyperlink ref="A24" r:id="rId9" display="Zeiss Loxia 2.8/21 Distagon T*"/>
    <hyperlink ref="S28" r:id="rId10" display="link*"/>
    <hyperlink ref="S30" r:id="rId11" display="link*"/>
    <hyperlink ref="U34" r:id="rId12" display="link*"/>
    <hyperlink ref="S36" r:id="rId13" display="link*"/>
    <hyperlink ref="S46" r:id="rId14" display="link*"/>
    <hyperlink ref="S47" r:id="rId15" display="link*"/>
    <hyperlink ref="R50" r:id="rId16" display="link*"/>
    <hyperlink ref="S50" r:id="rId17" display="link*"/>
    <hyperlink ref="T50" r:id="rId18" display="link*"/>
    <hyperlink ref="U50" r:id="rId19" display="link*"/>
    <hyperlink ref="R52" r:id="rId20" display="link*"/>
    <hyperlink ref="S52" r:id="rId21" display="link*"/>
    <hyperlink ref="S53" r:id="rId22" display="link*"/>
    <hyperlink ref="R60" r:id="rId23" display="link*"/>
    <hyperlink ref="S60" r:id="rId24" display="link*"/>
    <hyperlink ref="T60" r:id="rId25" display="link*"/>
    <hyperlink ref="R62" r:id="rId26" display="link*"/>
    <hyperlink ref="S62" r:id="rId27" display="link*"/>
    <hyperlink ref="U62" r:id="rId28" display="link*"/>
    <hyperlink ref="S64" r:id="rId29" display="link*"/>
    <hyperlink ref="S65" r:id="rId30" display="link*"/>
    <hyperlink ref="T66" r:id="rId31" display="link*"/>
    <hyperlink ref="R70" r:id="rId32" display="link*"/>
    <hyperlink ref="T71" r:id="rId33" display="link*"/>
    <hyperlink ref="T73" r:id="rId34" display="link*"/>
    <hyperlink ref="S76" r:id="rId35" display="link*"/>
    <hyperlink ref="S88" r:id="rId36" display="link*"/>
    <hyperlink ref="T89" r:id="rId37" display="link*"/>
    <hyperlink ref="S91" r:id="rId38" display="link*"/>
    <hyperlink ref="S92" r:id="rId39" display="link*"/>
    <hyperlink ref="R94" r:id="rId40" display="link*"/>
    <hyperlink ref="S94" r:id="rId41" display="link*"/>
    <hyperlink ref="T94" r:id="rId42" display="link*"/>
    <hyperlink ref="U94" r:id="rId43" display="link*"/>
    <hyperlink ref="R96" r:id="rId44" display="link*"/>
    <hyperlink ref="S96" r:id="rId45" display="link*"/>
    <hyperlink ref="T96" r:id="rId46" display="link*"/>
    <hyperlink ref="S102" r:id="rId47" display="link*"/>
    <hyperlink ref="S108" r:id="rId48" display="link*"/>
    <hyperlink ref="S114" r:id="rId49" display="link*"/>
    <hyperlink ref="A115" r:id="rId50" display="Sony GM 4.5-5.6/100-400 OSS"/>
    <hyperlink ref="A121" r:id="rId51" display="Zeiss Batis 2.8/135 APO"/>
    <hyperlink ref="R123" r:id="rId52" display="link*"/>
    <hyperlink ref="A157" r:id="rId53" display="Our Guide to the best 35mm lenses"/>
    <hyperlink ref="A158" r:id="rId54" display="Our Guide to the best 50mm lense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0" width="34.25"/>
    <col collapsed="false" customWidth="true" hidden="false" outlineLevel="0" max="2" min="2" style="0" width="5.75"/>
    <col collapsed="false" customWidth="true" hidden="false" outlineLevel="0" max="3" min="3" style="0" width="7.12"/>
    <col collapsed="false" customWidth="true" hidden="false" outlineLevel="0" max="4" min="4" style="0" width="7"/>
    <col collapsed="false" customWidth="true" hidden="false" outlineLevel="0" max="6" min="5" style="0" width="6.38"/>
    <col collapsed="false" customWidth="true" hidden="false" outlineLevel="0" max="7" min="7" style="0" width="3.5"/>
    <col collapsed="false" customWidth="true" hidden="false" outlineLevel="0" max="8" min="8" style="0" width="6.25"/>
    <col collapsed="false" customWidth="true" hidden="false" outlineLevel="0" max="9" min="9" style="0" width="3.88"/>
    <col collapsed="false" customWidth="true" hidden="false" outlineLevel="0" max="10" min="10" style="0" width="6.75"/>
    <col collapsed="false" customWidth="true" hidden="false" outlineLevel="0" max="14" min="11" style="0" width="3.5"/>
    <col collapsed="false" customWidth="true" hidden="false" outlineLevel="0" max="15" min="15" style="0" width="6.63"/>
    <col collapsed="false" customWidth="true" hidden="false" outlineLevel="0" max="16" min="16" style="0" width="4.75"/>
    <col collapsed="false" customWidth="true" hidden="false" outlineLevel="0" max="17" min="17" style="0" width="4.38"/>
    <col collapsed="false" customWidth="true" hidden="false" outlineLevel="0" max="18" min="18" style="0" width="5.38"/>
    <col collapsed="false" customWidth="true" hidden="false" outlineLevel="0" max="19" min="19" style="0" width="11.63"/>
    <col collapsed="false" customWidth="true" hidden="false" outlineLevel="0" max="20" min="20" style="0" width="5.13"/>
  </cols>
  <sheetData>
    <row r="1" customFormat="false" ht="76.5" hidden="false" customHeight="true" outlineLevel="0" collapsed="false">
      <c r="A1" s="1" t="s">
        <v>0</v>
      </c>
      <c r="B1" s="2" t="s">
        <v>1</v>
      </c>
      <c r="C1" s="3" t="s">
        <v>2</v>
      </c>
      <c r="D1" s="4" t="s">
        <v>3</v>
      </c>
      <c r="E1" s="5" t="s">
        <v>4</v>
      </c>
      <c r="F1" s="6" t="s">
        <v>5</v>
      </c>
      <c r="G1" s="7" t="s">
        <v>6</v>
      </c>
      <c r="H1" s="8" t="s">
        <v>7</v>
      </c>
      <c r="I1" s="3" t="s">
        <v>8</v>
      </c>
      <c r="J1" s="14" t="s">
        <v>193</v>
      </c>
      <c r="K1" s="16" t="s">
        <v>17</v>
      </c>
      <c r="L1" s="17" t="s">
        <v>18</v>
      </c>
      <c r="M1" s="16" t="s">
        <v>19</v>
      </c>
      <c r="N1" s="18" t="s">
        <v>20</v>
      </c>
      <c r="O1" s="3" t="s">
        <v>9</v>
      </c>
      <c r="P1" s="10" t="s">
        <v>10</v>
      </c>
      <c r="Q1" s="3" t="s">
        <v>11</v>
      </c>
      <c r="R1" s="3" t="s">
        <v>12</v>
      </c>
      <c r="S1" s="3" t="s">
        <v>13</v>
      </c>
      <c r="T1" s="3" t="s">
        <v>14</v>
      </c>
      <c r="U1" s="19" t="s">
        <v>21</v>
      </c>
    </row>
    <row r="2" customFormat="false" ht="18" hidden="false" customHeight="true" outlineLevel="0" collapsed="false">
      <c r="A2" s="20" t="s">
        <v>194</v>
      </c>
      <c r="B2" s="21"/>
      <c r="C2" s="21"/>
      <c r="D2" s="21"/>
      <c r="E2" s="21"/>
      <c r="F2" s="21"/>
      <c r="G2" s="21"/>
      <c r="H2" s="22"/>
      <c r="I2" s="21"/>
      <c r="J2" s="21"/>
      <c r="K2" s="21"/>
      <c r="L2" s="21"/>
      <c r="M2" s="21"/>
      <c r="N2" s="21"/>
      <c r="O2" s="21"/>
      <c r="P2" s="21"/>
      <c r="Q2" s="21"/>
      <c r="R2" s="21"/>
      <c r="S2" s="23"/>
      <c r="T2" s="21"/>
    </row>
    <row r="3" customFormat="false" ht="15.75" hidden="false" customHeight="false" outlineLevel="0" collapsed="false">
      <c r="A3" s="318" t="str">
        <f aca="false">HYPERLINK("https://phillipreeve.net/blog/review-laowa-10-18mm-4-5-5-6-fe-c-dreamer/","Laowa 10-18mm F4.5-5.6 FE C-Dreamer")</f>
        <v>Laowa 10-18mm F4.5-5.6 FE C-Dreamer</v>
      </c>
      <c r="B3" s="319" t="n">
        <v>499</v>
      </c>
      <c r="C3" s="320" t="n">
        <v>10</v>
      </c>
      <c r="D3" s="321" t="n">
        <v>4.5</v>
      </c>
      <c r="E3" s="322" t="n">
        <v>70</v>
      </c>
      <c r="F3" s="322" t="n">
        <v>81</v>
      </c>
      <c r="G3" s="323" t="s">
        <v>24</v>
      </c>
      <c r="H3" s="324" t="s">
        <v>25</v>
      </c>
      <c r="I3" s="325" t="n">
        <v>0.18</v>
      </c>
      <c r="J3" s="326" t="n">
        <v>849</v>
      </c>
      <c r="K3" s="327"/>
      <c r="L3" s="328" t="str">
        <f aca="false">HYPERLINK("https://www.bhphotovideo.com/c/product/1018382-REG/samyang_sy14m_e_14mm_f_2_8_ed_as.html/BI/19619/KBID/12129/DFF/d10-v21-t1-x476887/SID/EZ","link*")</f>
        <v>link*</v>
      </c>
      <c r="M3" s="327"/>
      <c r="N3" s="327"/>
      <c r="O3" s="329" t="n">
        <v>15</v>
      </c>
      <c r="P3" s="330" t="s">
        <v>26</v>
      </c>
      <c r="Q3" s="325" t="n">
        <v>5</v>
      </c>
      <c r="R3" s="331" t="s">
        <v>195</v>
      </c>
      <c r="S3" s="325" t="s">
        <v>196</v>
      </c>
      <c r="T3" s="325"/>
      <c r="U3" s="332" t="s">
        <v>197</v>
      </c>
    </row>
    <row r="4" customFormat="false" ht="15.75" hidden="false" customHeight="false" outlineLevel="0" collapsed="false">
      <c r="A4" s="333" t="s">
        <v>198</v>
      </c>
      <c r="B4" s="55" t="n">
        <v>373</v>
      </c>
      <c r="C4" s="59" t="n">
        <v>9</v>
      </c>
      <c r="D4" s="57" t="n">
        <v>5.6</v>
      </c>
      <c r="E4" s="58" t="n">
        <v>63</v>
      </c>
      <c r="F4" s="58" t="n">
        <v>74</v>
      </c>
      <c r="G4" s="334" t="s">
        <v>24</v>
      </c>
      <c r="H4" s="61" t="s">
        <v>25</v>
      </c>
      <c r="I4" s="62" t="n">
        <v>0.21</v>
      </c>
      <c r="J4" s="66" t="n">
        <v>799</v>
      </c>
      <c r="K4" s="67"/>
      <c r="L4" s="67"/>
      <c r="M4" s="67"/>
      <c r="N4" s="67"/>
      <c r="O4" s="63"/>
      <c r="P4" s="60"/>
      <c r="Q4" s="62"/>
      <c r="R4" s="64"/>
      <c r="S4" s="62"/>
      <c r="T4" s="62"/>
      <c r="U4" s="69"/>
    </row>
    <row r="5" customFormat="false" ht="15.75" hidden="false" customHeight="false" outlineLevel="0" collapsed="false">
      <c r="A5" s="333" t="s">
        <v>199</v>
      </c>
      <c r="B5" s="55" t="n">
        <v>254</v>
      </c>
      <c r="C5" s="59" t="n">
        <v>11</v>
      </c>
      <c r="D5" s="57" t="n">
        <v>4.5</v>
      </c>
      <c r="E5" s="58" t="n">
        <v>63.5</v>
      </c>
      <c r="F5" s="58" t="n">
        <v>58</v>
      </c>
      <c r="G5" s="334" t="s">
        <v>24</v>
      </c>
      <c r="H5" s="61" t="s">
        <v>67</v>
      </c>
      <c r="I5" s="62" t="n">
        <v>0.1</v>
      </c>
      <c r="J5" s="66" t="n">
        <v>699</v>
      </c>
      <c r="K5" s="67"/>
      <c r="L5" s="67"/>
      <c r="M5" s="67"/>
      <c r="N5" s="67"/>
      <c r="O5" s="63"/>
      <c r="P5" s="60"/>
      <c r="Q5" s="62"/>
      <c r="R5" s="64"/>
      <c r="S5" s="62"/>
      <c r="T5" s="62"/>
      <c r="U5" s="69"/>
    </row>
    <row r="6" customFormat="false" ht="15.75" hidden="false" customHeight="false" outlineLevel="0" collapsed="false">
      <c r="A6" s="333" t="s">
        <v>200</v>
      </c>
      <c r="B6" s="55"/>
      <c r="C6" s="59" t="s">
        <v>201</v>
      </c>
      <c r="D6" s="57" t="n">
        <v>2.8</v>
      </c>
      <c r="E6" s="58"/>
      <c r="F6" s="58"/>
      <c r="G6" s="334" t="s">
        <v>24</v>
      </c>
      <c r="H6" s="61"/>
      <c r="I6" s="62"/>
      <c r="J6" s="66" t="s">
        <v>202</v>
      </c>
      <c r="K6" s="67"/>
      <c r="L6" s="67"/>
      <c r="M6" s="67"/>
      <c r="N6" s="67"/>
      <c r="O6" s="63"/>
      <c r="P6" s="60"/>
      <c r="Q6" s="62"/>
      <c r="R6" s="64"/>
      <c r="S6" s="62"/>
      <c r="T6" s="62"/>
      <c r="U6" s="69"/>
    </row>
    <row r="7" customFormat="false" ht="15.75" hidden="false" customHeight="false" outlineLevel="0" collapsed="false">
      <c r="A7" s="333" t="s">
        <v>203</v>
      </c>
      <c r="B7" s="55" t="n">
        <v>228</v>
      </c>
      <c r="C7" s="59" t="n">
        <v>14</v>
      </c>
      <c r="D7" s="57" t="n">
        <v>4</v>
      </c>
      <c r="E7" s="58" t="n">
        <v>58</v>
      </c>
      <c r="F7" s="58" t="n">
        <v>59</v>
      </c>
      <c r="G7" s="334" t="s">
        <v>24</v>
      </c>
      <c r="H7" s="61" t="n">
        <v>52</v>
      </c>
      <c r="I7" s="62" t="n">
        <f aca="false">1/14</f>
        <v>0.07142857143</v>
      </c>
      <c r="J7" s="66" t="n">
        <v>549</v>
      </c>
      <c r="K7" s="67"/>
      <c r="L7" s="67"/>
      <c r="M7" s="67"/>
      <c r="N7" s="67"/>
      <c r="O7" s="63"/>
      <c r="P7" s="60"/>
      <c r="Q7" s="62"/>
      <c r="R7" s="64"/>
      <c r="S7" s="62"/>
      <c r="T7" s="62"/>
      <c r="U7" s="69"/>
    </row>
    <row r="8" customFormat="false" ht="15.75" hidden="false" customHeight="false" outlineLevel="0" collapsed="false">
      <c r="A8" s="335" t="s">
        <v>204</v>
      </c>
      <c r="B8" s="40"/>
      <c r="C8" s="44" t="n">
        <v>12</v>
      </c>
      <c r="D8" s="42" t="n">
        <v>2.8</v>
      </c>
      <c r="E8" s="336" t="n">
        <v>77</v>
      </c>
      <c r="F8" s="337" t="n">
        <v>99</v>
      </c>
      <c r="G8" s="338" t="s">
        <v>24</v>
      </c>
      <c r="H8" s="46" t="s">
        <v>25</v>
      </c>
      <c r="I8" s="47"/>
      <c r="J8" s="51" t="n">
        <v>479</v>
      </c>
      <c r="K8" s="140"/>
      <c r="L8" s="52" t="str">
        <f aca="false">HYPERLINK("https://www.bhphotovideo.com/c/product/1131985-REG/samyang_sy12m_e_12mm_f2_8_full_frame.html/BI/19619/KBID/12129/DFF/d10-v21-t1-x616677/SID/EZ","link*")</f>
        <v>link*</v>
      </c>
      <c r="M8" s="140"/>
      <c r="N8" s="140"/>
      <c r="O8" s="48" t="n">
        <v>20</v>
      </c>
      <c r="P8" s="45" t="s">
        <v>26</v>
      </c>
      <c r="Q8" s="47" t="n">
        <v>7</v>
      </c>
      <c r="R8" s="49" t="s">
        <v>205</v>
      </c>
      <c r="S8" s="47" t="s">
        <v>47</v>
      </c>
      <c r="T8" s="47"/>
      <c r="U8" s="69" t="s">
        <v>206</v>
      </c>
    </row>
    <row r="9" customFormat="false" ht="15.75" hidden="false" customHeight="false" outlineLevel="0" collapsed="false">
      <c r="A9" s="318" t="str">
        <f aca="false">HYPERLINK("https://phillipreeve.net/blog/review-laowa-12mm-2-8-zero-d/","Venus Optics Laowa 12mm f/2.8 Zero-D")</f>
        <v>Venus Optics Laowa 12mm f/2.8 Zero-D</v>
      </c>
      <c r="B9" s="319" t="n">
        <v>640</v>
      </c>
      <c r="C9" s="320" t="n">
        <v>12</v>
      </c>
      <c r="D9" s="321" t="n">
        <v>2.8</v>
      </c>
      <c r="E9" s="339" t="n">
        <v>78</v>
      </c>
      <c r="F9" s="340" t="n">
        <v>114.5</v>
      </c>
      <c r="G9" s="323" t="s">
        <v>24</v>
      </c>
      <c r="H9" s="324" t="s">
        <v>25</v>
      </c>
      <c r="I9" s="325" t="n">
        <v>0.18</v>
      </c>
      <c r="J9" s="326" t="n">
        <v>949</v>
      </c>
      <c r="K9" s="327"/>
      <c r="L9" s="328" t="str">
        <f aca="false">HYPERLINK("https://www.bhphotovideo.com/c/product/1283916-REG/venus_optics_ve1228sef_laowa_12mm_f_2_8_zero_d.html/BI/19619/KBID/12129/DFF/d10-v21-t1-x766506/SID/EZ","link*")</f>
        <v>link*</v>
      </c>
      <c r="M9" s="327"/>
      <c r="N9" s="327"/>
      <c r="O9" s="329" t="n">
        <v>18</v>
      </c>
      <c r="P9" s="330" t="s">
        <v>26</v>
      </c>
      <c r="Q9" s="325" t="n">
        <v>7</v>
      </c>
      <c r="R9" s="331" t="s">
        <v>207</v>
      </c>
      <c r="S9" s="325" t="s">
        <v>196</v>
      </c>
      <c r="T9" s="325"/>
      <c r="U9" s="332" t="s">
        <v>197</v>
      </c>
    </row>
    <row r="10" customFormat="false" ht="15.75" hidden="false" customHeight="false" outlineLevel="0" collapsed="false">
      <c r="A10" s="341" t="str">
        <f aca="false">HYPERLINK("https://phillipreeve.net/blog/review-samyang-14mm-2-8/","Samyang 14mm f/2.8 ES AS IF UMC")</f>
        <v>Samyang 14mm f/2.8 ES AS IF UMC</v>
      </c>
      <c r="B10" s="342" t="n">
        <v>570</v>
      </c>
      <c r="C10" s="343" t="n">
        <v>14</v>
      </c>
      <c r="D10" s="344" t="n">
        <v>2.8</v>
      </c>
      <c r="E10" s="345" t="n">
        <v>87</v>
      </c>
      <c r="F10" s="346" t="n">
        <v>122</v>
      </c>
      <c r="G10" s="347" t="s">
        <v>24</v>
      </c>
      <c r="H10" s="348" t="s">
        <v>25</v>
      </c>
      <c r="I10" s="349" t="n">
        <v>0.066</v>
      </c>
      <c r="J10" s="350" t="n">
        <v>329</v>
      </c>
      <c r="K10" s="351"/>
      <c r="L10" s="352" t="str">
        <f aca="false">HYPERLINK("https://www.bhphotovideo.com/c/product/1018382-REG/samyang_sy14m_e_14mm_f_2_8_ed_as.html/BI/19619/KBID/12129/DFF/d10-v21-t1-x476887/SID/EZ","link*")</f>
        <v>link*</v>
      </c>
      <c r="M10" s="351"/>
      <c r="N10" s="351"/>
      <c r="O10" s="353" t="n">
        <v>29</v>
      </c>
      <c r="P10" s="354" t="s">
        <v>26</v>
      </c>
      <c r="Q10" s="349" t="n">
        <v>6</v>
      </c>
      <c r="R10" s="355" t="s">
        <v>195</v>
      </c>
      <c r="S10" s="349" t="s">
        <v>47</v>
      </c>
      <c r="T10" s="349"/>
      <c r="U10" s="332" t="s">
        <v>197</v>
      </c>
    </row>
    <row r="11" customFormat="false" ht="15.75" hidden="false" customHeight="false" outlineLevel="0" collapsed="false">
      <c r="A11" s="356" t="str">
        <f aca="false">HYPERLINK("https://phillipreeve.net/blog/rolling-review-laowa-15mm-2-0-zero-d/","Laowa 15mm F2.0 D-Dreamer")</f>
        <v>Laowa 15mm F2.0 D-Dreamer</v>
      </c>
      <c r="B11" s="40" t="n">
        <v>520</v>
      </c>
      <c r="C11" s="44" t="n">
        <v>15</v>
      </c>
      <c r="D11" s="42" t="n">
        <v>2</v>
      </c>
      <c r="E11" s="336" t="n">
        <v>77</v>
      </c>
      <c r="F11" s="337" t="n">
        <v>83</v>
      </c>
      <c r="G11" s="338" t="s">
        <v>24</v>
      </c>
      <c r="H11" s="46" t="n">
        <v>72</v>
      </c>
      <c r="I11" s="47" t="n">
        <v>0.25</v>
      </c>
      <c r="J11" s="51" t="n">
        <v>849</v>
      </c>
      <c r="K11" s="140"/>
      <c r="L11" s="52" t="str">
        <f aca="false">HYPERLINK("https://www.bhphotovideo.com/c/product/1357085-REG/venus_optics_ve1520sfe_15mm_f_2_0_fe_zero_d.html/BI/19619/KBID/12129/DFF/d10-v21-t1-x841572/SID/EZ","link*")</f>
        <v>link*</v>
      </c>
      <c r="M11" s="140"/>
      <c r="N11" s="140"/>
      <c r="O11" s="48" t="n">
        <v>15</v>
      </c>
      <c r="P11" s="45" t="s">
        <v>26</v>
      </c>
      <c r="Q11" s="47" t="n">
        <v>7</v>
      </c>
      <c r="R11" s="49" t="s">
        <v>208</v>
      </c>
      <c r="S11" s="47" t="s">
        <v>196</v>
      </c>
      <c r="T11" s="47"/>
      <c r="U11" s="69" t="s">
        <v>197</v>
      </c>
    </row>
    <row r="12" customFormat="false" ht="15.75" hidden="false" customHeight="false" outlineLevel="0" collapsed="false">
      <c r="A12" s="318" t="str">
        <f aca="false">HYPERLINK("https://phillipreeve.net/blog/review-laowa-15mm-4-0-macro/","Venus Optics Laowa 15mm f/4 Macro")</f>
        <v>Venus Optics Laowa 15mm f/4 Macro</v>
      </c>
      <c r="B12" s="319" t="n">
        <v>470</v>
      </c>
      <c r="C12" s="320" t="n">
        <v>15</v>
      </c>
      <c r="D12" s="321" t="n">
        <v>4</v>
      </c>
      <c r="E12" s="339" t="n">
        <v>84</v>
      </c>
      <c r="F12" s="340" t="n">
        <v>94</v>
      </c>
      <c r="G12" s="323" t="s">
        <v>24</v>
      </c>
      <c r="H12" s="324" t="s">
        <v>25</v>
      </c>
      <c r="I12" s="325" t="n">
        <v>1</v>
      </c>
      <c r="J12" s="326" t="n">
        <v>499</v>
      </c>
      <c r="K12" s="327"/>
      <c r="L12" s="328" t="str">
        <f aca="false">HYPERLINK("https://www.bhphotovideo.com/c/product/1165602-REG/venus_optics_laowa_15mm_f_4_macro.html/BI/19619/KBID/12129/DFF/d10-v21-t1-x652903/SID/EZ","link*")</f>
        <v>link*</v>
      </c>
      <c r="M12" s="327"/>
      <c r="N12" s="327"/>
      <c r="O12" s="329" t="n">
        <v>12</v>
      </c>
      <c r="P12" s="330" t="s">
        <v>26</v>
      </c>
      <c r="Q12" s="325" t="n">
        <v>14</v>
      </c>
      <c r="R12" s="331" t="s">
        <v>208</v>
      </c>
      <c r="S12" s="325" t="s">
        <v>196</v>
      </c>
      <c r="T12" s="325"/>
      <c r="U12" s="332" t="s">
        <v>209</v>
      </c>
    </row>
    <row r="13" customFormat="false" ht="15.75" hidden="false" customHeight="false" outlineLevel="0" collapsed="false">
      <c r="A13" s="357" t="s">
        <v>210</v>
      </c>
      <c r="B13" s="342" t="n">
        <v>470</v>
      </c>
      <c r="C13" s="343" t="n">
        <v>15</v>
      </c>
      <c r="D13" s="344" t="n">
        <v>4</v>
      </c>
      <c r="E13" s="345" t="n">
        <v>79</v>
      </c>
      <c r="F13" s="346" t="n">
        <v>77</v>
      </c>
      <c r="G13" s="347" t="s">
        <v>24</v>
      </c>
      <c r="H13" s="348" t="s">
        <v>49</v>
      </c>
      <c r="I13" s="349" t="n">
        <f aca="false">1/7.7</f>
        <v>0.1298701299</v>
      </c>
      <c r="J13" s="350" t="n">
        <v>579</v>
      </c>
      <c r="K13" s="351"/>
      <c r="L13" s="351"/>
      <c r="M13" s="351"/>
      <c r="N13" s="351"/>
      <c r="O13" s="353"/>
      <c r="P13" s="354"/>
      <c r="Q13" s="332"/>
      <c r="R13" s="355"/>
      <c r="S13" s="349"/>
      <c r="T13" s="349"/>
      <c r="U13" s="332"/>
    </row>
    <row r="14" customFormat="false" ht="15.75" hidden="false" customHeight="false" outlineLevel="0" collapsed="false">
      <c r="A14" s="357" t="s">
        <v>211</v>
      </c>
      <c r="B14" s="342" t="n">
        <v>230</v>
      </c>
      <c r="C14" s="343" t="n">
        <v>20</v>
      </c>
      <c r="D14" s="344" t="n">
        <v>2</v>
      </c>
      <c r="E14" s="345" t="n">
        <v>62</v>
      </c>
      <c r="F14" s="346" t="n">
        <v>60</v>
      </c>
      <c r="G14" s="347" t="s">
        <v>24</v>
      </c>
      <c r="H14" s="348"/>
      <c r="I14" s="349" t="n">
        <v>4.5</v>
      </c>
      <c r="J14" s="350" t="n">
        <v>199</v>
      </c>
      <c r="K14" s="351"/>
      <c r="L14" s="352" t="str">
        <f aca="false">HYPERLINK("https://www.bhphotovideo.com/c/product/1307523-REG/mitakon_zhongyi_mtk20mf2se_20mm_f_2_4_5x_super.html/BI/19619/KBID/12129/DFF/d10-v21-t1-x786936/SID/EZ","link*")</f>
        <v>link*</v>
      </c>
      <c r="M14" s="351"/>
      <c r="N14" s="351"/>
      <c r="O14" s="353" t="n">
        <v>2</v>
      </c>
      <c r="P14" s="354" t="s">
        <v>26</v>
      </c>
      <c r="Q14" s="332" t="n">
        <v>3</v>
      </c>
      <c r="R14" s="358" t="n">
        <v>43561</v>
      </c>
      <c r="S14" s="349" t="s">
        <v>212</v>
      </c>
      <c r="T14" s="349"/>
      <c r="U14" s="332" t="s">
        <v>213</v>
      </c>
    </row>
    <row r="15" customFormat="false" ht="15.75" hidden="false" customHeight="false" outlineLevel="0" collapsed="false">
      <c r="A15" s="335" t="s">
        <v>214</v>
      </c>
      <c r="B15" s="40" t="n">
        <v>474</v>
      </c>
      <c r="C15" s="44" t="n">
        <v>24</v>
      </c>
      <c r="D15" s="42" t="n">
        <v>14</v>
      </c>
      <c r="E15" s="336" t="n">
        <v>38</v>
      </c>
      <c r="F15" s="337" t="n">
        <v>408</v>
      </c>
      <c r="G15" s="338" t="s">
        <v>24</v>
      </c>
      <c r="H15" s="46" t="s">
        <v>25</v>
      </c>
      <c r="I15" s="47" t="n">
        <v>2</v>
      </c>
      <c r="J15" s="51" t="n">
        <v>1499</v>
      </c>
      <c r="K15" s="140"/>
      <c r="L15" s="52" t="str">
        <f aca="false">HYPERLINK("https://www.bhphotovideo.com/c/product/1430596-REG/venus_optics_laowa_24mm_f_14_probe.html/BI/19619/KBID/12129/DFF/d10-v21-t1-x916725/SID/EZ","link*")</f>
        <v>link*</v>
      </c>
      <c r="M15" s="140"/>
      <c r="N15" s="140"/>
      <c r="O15" s="48" t="n">
        <v>4.7</v>
      </c>
      <c r="P15" s="45" t="s">
        <v>26</v>
      </c>
      <c r="Q15" s="69" t="n">
        <v>7</v>
      </c>
      <c r="R15" s="47" t="s">
        <v>215</v>
      </c>
      <c r="S15" s="47" t="s">
        <v>196</v>
      </c>
      <c r="T15" s="47"/>
      <c r="U15" s="69" t="s">
        <v>197</v>
      </c>
    </row>
    <row r="16" customFormat="false" ht="15.75" hidden="false" customHeight="false" outlineLevel="0" collapsed="false">
      <c r="A16" s="294" t="s">
        <v>216</v>
      </c>
      <c r="B16" s="81" t="n">
        <v>590</v>
      </c>
      <c r="C16" s="121" t="n">
        <v>24</v>
      </c>
      <c r="D16" s="120" t="n">
        <v>1.4</v>
      </c>
      <c r="E16" s="359" t="n">
        <v>83</v>
      </c>
      <c r="F16" s="360" t="n">
        <v>123</v>
      </c>
      <c r="G16" s="361" t="s">
        <v>24</v>
      </c>
      <c r="H16" s="87" t="n">
        <v>77</v>
      </c>
      <c r="I16" s="86"/>
      <c r="J16" s="92" t="n">
        <v>549</v>
      </c>
      <c r="K16" s="94"/>
      <c r="L16" s="93" t="str">
        <f aca="false">HYPERLINK("https://www.bhphotovideo.com/c/product/1040178-REG/rokinon_rk24m_e_24mm_hd_f1_4_photo.html/BI/19619/KBID/12129/DFF/d10-v21-t1-x516635/SID/EZ","link*")</f>
        <v>link*</v>
      </c>
      <c r="M16" s="94"/>
      <c r="N16" s="94"/>
      <c r="O16" s="88" t="n">
        <v>25</v>
      </c>
      <c r="P16" s="89" t="s">
        <v>26</v>
      </c>
      <c r="Q16" s="86" t="n">
        <v>8</v>
      </c>
      <c r="R16" s="122" t="n">
        <v>43812</v>
      </c>
      <c r="S16" s="86" t="s">
        <v>47</v>
      </c>
      <c r="T16" s="86"/>
      <c r="U16" s="69" t="s">
        <v>197</v>
      </c>
    </row>
    <row r="17" customFormat="false" ht="15.75" hidden="false" customHeight="false" outlineLevel="0" collapsed="false">
      <c r="A17" s="294" t="s">
        <v>217</v>
      </c>
      <c r="B17" s="81"/>
      <c r="C17" s="121" t="n">
        <v>24</v>
      </c>
      <c r="D17" s="120" t="n">
        <v>2.4</v>
      </c>
      <c r="E17" s="84"/>
      <c r="F17" s="84"/>
      <c r="G17" s="361" t="s">
        <v>24</v>
      </c>
      <c r="H17" s="87" t="s">
        <v>25</v>
      </c>
      <c r="I17" s="86"/>
      <c r="J17" s="92" t="n">
        <v>389</v>
      </c>
      <c r="K17" s="94"/>
      <c r="L17" s="93" t="str">
        <f aca="false">HYPERLINK("https://www.bhphotovideo.com/c/product/1456688-REG/kipon_24mm_f2_4_for_sony_e_24mm_f_2_4_lens_for.html/BI/19619/KBID/12129/DFF/d10-v21-t1-x945435/SID/EZ","link*")</f>
        <v>link*</v>
      </c>
      <c r="M17" s="94"/>
      <c r="N17" s="94"/>
      <c r="O17" s="88" t="n">
        <v>25</v>
      </c>
      <c r="P17" s="89" t="s">
        <v>26</v>
      </c>
      <c r="Q17" s="69" t="n">
        <v>6</v>
      </c>
      <c r="R17" s="122" t="n">
        <v>43654</v>
      </c>
      <c r="S17" s="86" t="s">
        <v>218</v>
      </c>
      <c r="T17" s="86"/>
      <c r="U17" s="69" t="s">
        <v>197</v>
      </c>
    </row>
    <row r="18" customFormat="false" ht="15.75" hidden="false" customHeight="false" outlineLevel="0" collapsed="false">
      <c r="A18" s="362" t="s">
        <v>219</v>
      </c>
      <c r="B18" s="319" t="n">
        <v>734</v>
      </c>
      <c r="C18" s="320" t="n">
        <v>24</v>
      </c>
      <c r="D18" s="363" t="n">
        <v>3.5</v>
      </c>
      <c r="E18" s="364" t="n">
        <v>86</v>
      </c>
      <c r="F18" s="365" t="n">
        <v>139</v>
      </c>
      <c r="G18" s="323" t="s">
        <v>24</v>
      </c>
      <c r="H18" s="324" t="n">
        <v>82</v>
      </c>
      <c r="I18" s="325"/>
      <c r="J18" s="326" t="n">
        <v>799</v>
      </c>
      <c r="K18" s="327"/>
      <c r="L18" s="328" t="str">
        <f aca="false">HYPERLINK("https://www.bhphotovideo.com/c/product/1246780-REG/rokinon_tsl24me_t_s_24mm_f_3_5_ed.html/BI/19619/KBID/12129/DFF/d10-v21-t1-x727594/SID/EZ","link*")</f>
        <v>link*</v>
      </c>
      <c r="M18" s="327"/>
      <c r="N18" s="327"/>
      <c r="O18" s="329" t="n">
        <v>20</v>
      </c>
      <c r="P18" s="330" t="s">
        <v>26</v>
      </c>
      <c r="Q18" s="332"/>
      <c r="R18" s="366" t="n">
        <v>43785</v>
      </c>
      <c r="S18" s="325" t="s">
        <v>47</v>
      </c>
      <c r="T18" s="325"/>
      <c r="U18" s="332" t="s">
        <v>220</v>
      </c>
    </row>
    <row r="19" customFormat="false" ht="15.75" hidden="false" customHeight="false" outlineLevel="0" collapsed="false">
      <c r="A19" s="362" t="s">
        <v>221</v>
      </c>
      <c r="B19" s="342" t="n">
        <v>400</v>
      </c>
      <c r="C19" s="343" t="n">
        <v>25</v>
      </c>
      <c r="D19" s="367" t="n">
        <v>2.8</v>
      </c>
      <c r="E19" s="368" t="n">
        <v>65</v>
      </c>
      <c r="F19" s="369" t="n">
        <v>82</v>
      </c>
      <c r="G19" s="347" t="s">
        <v>24</v>
      </c>
      <c r="H19" s="348" t="s">
        <v>25</v>
      </c>
      <c r="I19" s="349" t="n">
        <v>5</v>
      </c>
      <c r="J19" s="350" t="n">
        <v>399</v>
      </c>
      <c r="K19" s="351"/>
      <c r="L19" s="352" t="str">
        <f aca="false">HYPERLINK("https://www.bhphotovideo.com/c/product/1399604-REG/venus_optics_ve2528sfe_laowa_25mm_f_2_8_2_5_5x.html/BI/19619/KBID/12129/DFF/d10-v21-t1-x886312/SID/EZ","link*")</f>
        <v>link*</v>
      </c>
      <c r="M19" s="351"/>
      <c r="N19" s="351"/>
      <c r="O19" s="353" t="n">
        <v>17</v>
      </c>
      <c r="P19" s="354" t="s">
        <v>26</v>
      </c>
      <c r="Q19" s="332" t="n">
        <v>8</v>
      </c>
      <c r="R19" s="370" t="n">
        <v>43624</v>
      </c>
      <c r="S19" s="349" t="s">
        <v>196</v>
      </c>
      <c r="T19" s="349"/>
      <c r="U19" s="332" t="s">
        <v>222</v>
      </c>
    </row>
    <row r="20" customFormat="false" ht="15.75" hidden="false" customHeight="false" outlineLevel="0" collapsed="false">
      <c r="A20" s="362" t="s">
        <v>223</v>
      </c>
      <c r="B20" s="342" t="n">
        <v>220</v>
      </c>
      <c r="C20" s="343" t="n">
        <v>30</v>
      </c>
      <c r="D20" s="367" t="n">
        <v>3.5</v>
      </c>
      <c r="E20" s="368"/>
      <c r="F20" s="368"/>
      <c r="G20" s="347" t="s">
        <v>24</v>
      </c>
      <c r="H20" s="348"/>
      <c r="I20" s="349"/>
      <c r="J20" s="350" t="n">
        <v>598</v>
      </c>
      <c r="K20" s="351"/>
      <c r="L20" s="352" t="str">
        <f aca="false">HYPERLINK("https://www.bhphotovideo.com/c/product/1407076-REG/meyer_optik_gorlitz_mog3530se_lydith_30mm_f_3_5_lens.html/BI/19619/KBID/12129/DFF/d10-v21-t1-x895134/SID/EZ","link*")</f>
        <v>link*</v>
      </c>
      <c r="M20" s="351"/>
      <c r="N20" s="351"/>
      <c r="O20" s="353" t="n">
        <v>16</v>
      </c>
      <c r="P20" s="354" t="s">
        <v>26</v>
      </c>
      <c r="Q20" s="332" t="n">
        <v>12</v>
      </c>
      <c r="R20" s="370" t="n">
        <v>43590</v>
      </c>
      <c r="S20" s="349" t="s">
        <v>224</v>
      </c>
      <c r="T20" s="349"/>
      <c r="U20" s="332" t="s">
        <v>197</v>
      </c>
    </row>
    <row r="21" customFormat="false" ht="15.75" hidden="false" customHeight="false" outlineLevel="0" collapsed="false">
      <c r="A21" s="371" t="str">
        <f aca="false">HYPERLINK("https://phillipreeve.net/blog/review-slrmagic-35mm-1-2-cine/","SLR Magic Cine 35mm f/1.2")</f>
        <v>SLR Magic Cine 35mm f/1.2</v>
      </c>
      <c r="B21" s="81" t="n">
        <v>466</v>
      </c>
      <c r="C21" s="121" t="n">
        <v>35</v>
      </c>
      <c r="D21" s="120" t="n">
        <v>1.2</v>
      </c>
      <c r="E21" s="84" t="n">
        <v>65</v>
      </c>
      <c r="F21" s="84" t="n">
        <v>72</v>
      </c>
      <c r="G21" s="361" t="s">
        <v>24</v>
      </c>
      <c r="H21" s="87" t="n">
        <v>52</v>
      </c>
      <c r="I21" s="86" t="n">
        <v>0.12</v>
      </c>
      <c r="J21" s="92" t="n">
        <v>399</v>
      </c>
      <c r="K21" s="94"/>
      <c r="L21" s="93" t="str">
        <f aca="false">HYPERLINK("https://www.bhphotovideo.com/c/product/1258395-REG/slr_magic_cine_35mm_f_1_2_fe.html/BI/19619/KBID/12129/DFF/d10-v21-t1-x739492/SID/EZ","link*")</f>
        <v>link*</v>
      </c>
      <c r="M21" s="94"/>
      <c r="N21" s="94"/>
      <c r="O21" s="88" t="n">
        <v>40</v>
      </c>
      <c r="P21" s="89" t="s">
        <v>26</v>
      </c>
      <c r="Q21" s="69" t="n">
        <v>13</v>
      </c>
      <c r="R21" s="122" t="n">
        <v>43686</v>
      </c>
      <c r="S21" s="86" t="s">
        <v>225</v>
      </c>
      <c r="T21" s="86"/>
      <c r="U21" s="69"/>
    </row>
    <row r="22" customFormat="false" ht="15.75" hidden="false" customHeight="false" outlineLevel="0" collapsed="false">
      <c r="A22" s="371" t="str">
        <f aca="false">HYPERLINK("https://phillipreeve.net/blog/review-7artisans-35-1-4/","7artisans 35mm f/1.4")</f>
        <v>7artisans 35mm f/1.4</v>
      </c>
      <c r="B22" s="40" t="n">
        <v>275</v>
      </c>
      <c r="C22" s="44" t="n">
        <v>35</v>
      </c>
      <c r="D22" s="76" t="n">
        <v>1.4</v>
      </c>
      <c r="E22" s="77"/>
      <c r="F22" s="372" t="n">
        <v>63</v>
      </c>
      <c r="G22" s="338" t="s">
        <v>24</v>
      </c>
      <c r="H22" s="46" t="n">
        <v>46</v>
      </c>
      <c r="I22" s="47"/>
      <c r="J22" s="51" t="n">
        <v>199</v>
      </c>
      <c r="K22" s="140"/>
      <c r="L22" s="140"/>
      <c r="M22" s="140"/>
      <c r="N22" s="140"/>
      <c r="O22" s="48" t="n">
        <v>40</v>
      </c>
      <c r="P22" s="45" t="s">
        <v>26</v>
      </c>
      <c r="Q22" s="69" t="n">
        <v>11</v>
      </c>
      <c r="R22" s="79" t="n">
        <v>43718</v>
      </c>
      <c r="S22" s="47" t="s">
        <v>226</v>
      </c>
      <c r="T22" s="47" t="s">
        <v>227</v>
      </c>
      <c r="U22" s="69" t="s">
        <v>228</v>
      </c>
    </row>
    <row r="23" customFormat="false" ht="15.75" hidden="false" customHeight="false" outlineLevel="0" collapsed="false">
      <c r="A23" s="294" t="s">
        <v>229</v>
      </c>
      <c r="B23" s="81" t="n">
        <v>735</v>
      </c>
      <c r="C23" s="121" t="n">
        <v>35</v>
      </c>
      <c r="D23" s="120" t="n">
        <v>1.4</v>
      </c>
      <c r="E23" s="359" t="n">
        <v>83</v>
      </c>
      <c r="F23" s="360" t="n">
        <v>137</v>
      </c>
      <c r="G23" s="361" t="s">
        <v>24</v>
      </c>
      <c r="H23" s="87" t="n">
        <v>77</v>
      </c>
      <c r="I23" s="86"/>
      <c r="J23" s="92" t="n">
        <v>369</v>
      </c>
      <c r="K23" s="94"/>
      <c r="L23" s="93" t="str">
        <f aca="false">HYPERLINK("https://www.bhphotovideo.com/c/product/1040176-REG/rokinon_rk35m_e_35mm_hd_f1_4_photo.html/BI/19619/KBID/12129/DFF/d10-v21-t1-x516633/SID/EZ","link*")</f>
        <v>link*</v>
      </c>
      <c r="M23" s="94"/>
      <c r="N23" s="94"/>
      <c r="O23" s="88" t="n">
        <v>30</v>
      </c>
      <c r="P23" s="89" t="s">
        <v>26</v>
      </c>
      <c r="Q23" s="86" t="n">
        <v>8</v>
      </c>
      <c r="R23" s="122" t="n">
        <v>43750</v>
      </c>
      <c r="S23" s="86" t="s">
        <v>47</v>
      </c>
      <c r="T23" s="86"/>
      <c r="U23" s="69" t="s">
        <v>197</v>
      </c>
    </row>
    <row r="24" customFormat="false" ht="15.75" hidden="false" customHeight="false" outlineLevel="0" collapsed="false">
      <c r="A24" s="294" t="s">
        <v>230</v>
      </c>
      <c r="B24" s="81" t="n">
        <v>320</v>
      </c>
      <c r="C24" s="121" t="n">
        <v>35</v>
      </c>
      <c r="D24" s="120" t="n">
        <v>2</v>
      </c>
      <c r="E24" s="359" t="n">
        <v>50</v>
      </c>
      <c r="F24" s="360" t="n">
        <v>41</v>
      </c>
      <c r="G24" s="361" t="s">
        <v>24</v>
      </c>
      <c r="H24" s="87" t="n">
        <v>43</v>
      </c>
      <c r="I24" s="86"/>
      <c r="J24" s="92" t="n">
        <v>179</v>
      </c>
      <c r="K24" s="94"/>
      <c r="L24" s="93" t="str">
        <f aca="false">HYPERLINK("https://www.bhphotovideo.com/c/product/1387955-REG/7artisans_photoelectric_7a35f2svsfeblk_35mm_f2_full_frame.html/BI/19619/KBID/12129/DFF/d10-v21-t1-x874918/SID/EZ","link*")</f>
        <v>link*</v>
      </c>
      <c r="M24" s="94"/>
      <c r="N24" s="94"/>
      <c r="O24" s="88" t="n">
        <v>35</v>
      </c>
      <c r="P24" s="89" t="s">
        <v>26</v>
      </c>
      <c r="Q24" s="86" t="n">
        <v>10</v>
      </c>
      <c r="R24" s="122" t="n">
        <v>43592</v>
      </c>
      <c r="S24" s="86" t="s">
        <v>226</v>
      </c>
      <c r="T24" s="86"/>
      <c r="U24" s="69" t="s">
        <v>197</v>
      </c>
    </row>
    <row r="25" customFormat="false" ht="15.75" hidden="false" customHeight="false" outlineLevel="0" collapsed="false">
      <c r="A25" s="294" t="s">
        <v>231</v>
      </c>
      <c r="B25" s="81" t="n">
        <v>280</v>
      </c>
      <c r="C25" s="121" t="n">
        <v>35</v>
      </c>
      <c r="D25" s="120" t="n">
        <v>2.4</v>
      </c>
      <c r="E25" s="359" t="n">
        <v>58</v>
      </c>
      <c r="F25" s="360" t="n">
        <v>45</v>
      </c>
      <c r="G25" s="361" t="s">
        <v>24</v>
      </c>
      <c r="H25" s="87" t="n">
        <v>49</v>
      </c>
      <c r="I25" s="86"/>
      <c r="J25" s="92" t="n">
        <v>375</v>
      </c>
      <c r="K25" s="94"/>
      <c r="L25" s="93" t="str">
        <f aca="false">HYPERLINK("https://www.bhphotovideo.com/c/product/1456694-REG/kipon_35mm_f2_4_for_sony_e_35mm_f_2_4_lens_for.html/BI/19619/KBID/12129/DFF/d10-v21-t1-x945440/SID/EZ","link*")</f>
        <v>link*</v>
      </c>
      <c r="M25" s="94"/>
      <c r="N25" s="94"/>
      <c r="O25" s="88" t="n">
        <v>35</v>
      </c>
      <c r="P25" s="89" t="s">
        <v>26</v>
      </c>
      <c r="Q25" s="86" t="n">
        <v>6</v>
      </c>
      <c r="R25" s="122" t="n">
        <v>43622</v>
      </c>
      <c r="S25" s="86" t="s">
        <v>218</v>
      </c>
      <c r="T25" s="86"/>
      <c r="U25" s="69" t="s">
        <v>197</v>
      </c>
    </row>
    <row r="26" customFormat="false" ht="15.75" hidden="false" customHeight="false" outlineLevel="0" collapsed="false">
      <c r="A26" s="362" t="s">
        <v>232</v>
      </c>
      <c r="B26" s="319" t="n">
        <v>374</v>
      </c>
      <c r="C26" s="320" t="n">
        <v>35</v>
      </c>
      <c r="D26" s="363" t="n">
        <v>2.8</v>
      </c>
      <c r="E26" s="364" t="n">
        <v>70</v>
      </c>
      <c r="F26" s="365" t="n">
        <v>67</v>
      </c>
      <c r="G26" s="323" t="s">
        <v>24</v>
      </c>
      <c r="H26" s="324" t="n">
        <v>62</v>
      </c>
      <c r="I26" s="325"/>
      <c r="J26" s="326" t="n">
        <v>499</v>
      </c>
      <c r="K26" s="327"/>
      <c r="L26" s="328" t="str">
        <f aca="false">HYPERLINK("https://www.bhphotovideo.com/c/product/1387206-REG/lensbaby_lbb35x_burnside_35mm_f_2_8_lens.html/BI/19619/KBID/12129/DFF/d10-v21-t1-x878506/SID/EZ","link*")</f>
        <v>link*</v>
      </c>
      <c r="M26" s="327"/>
      <c r="N26" s="327"/>
      <c r="O26" s="329" t="n">
        <v>15.2</v>
      </c>
      <c r="P26" s="330" t="s">
        <v>26</v>
      </c>
      <c r="Q26" s="325" t="n">
        <v>6</v>
      </c>
      <c r="R26" s="366" t="n">
        <v>43561</v>
      </c>
      <c r="S26" s="325" t="s">
        <v>233</v>
      </c>
      <c r="T26" s="325"/>
      <c r="U26" s="332" t="s">
        <v>234</v>
      </c>
    </row>
    <row r="27" customFormat="false" ht="15.75" hidden="false" customHeight="false" outlineLevel="0" collapsed="false">
      <c r="A27" s="371" t="str">
        <f aca="false">HYPERLINK("https://phillipreeve.net/blog/review-zhong-yi-mitakon-50mm-0-95-dark-knight/","Mitakon Zhong Yi 0.95/50 II Speedmaster")</f>
        <v>Mitakon Zhong Yi 0.95/50 II Speedmaster</v>
      </c>
      <c r="B27" s="40" t="n">
        <v>780</v>
      </c>
      <c r="C27" s="44" t="n">
        <v>50</v>
      </c>
      <c r="D27" s="76" t="n">
        <v>0.95</v>
      </c>
      <c r="E27" s="77" t="n">
        <v>77</v>
      </c>
      <c r="F27" s="372" t="n">
        <v>82</v>
      </c>
      <c r="G27" s="338" t="s">
        <v>24</v>
      </c>
      <c r="H27" s="46" t="n">
        <v>67</v>
      </c>
      <c r="I27" s="47"/>
      <c r="J27" s="51" t="n">
        <v>799</v>
      </c>
      <c r="K27" s="140"/>
      <c r="L27" s="52" t="str">
        <f aca="false">HYPERLINK("https://www.bhphotovideo.com/c/product/1072733-REG/mitakon_mtk50mf095bk_50mm_for_0_95_lens.html/BI/19619/KBID/12129/DFF/d10-v21-t1-x546124/SID/EZ","link*")</f>
        <v>link*</v>
      </c>
      <c r="M27" s="140"/>
      <c r="N27" s="140"/>
      <c r="O27" s="48" t="n">
        <v>100</v>
      </c>
      <c r="P27" s="45" t="s">
        <v>26</v>
      </c>
      <c r="Q27" s="47" t="n">
        <v>9</v>
      </c>
      <c r="R27" s="79" t="n">
        <v>43656</v>
      </c>
      <c r="S27" s="47" t="s">
        <v>212</v>
      </c>
      <c r="T27" s="47"/>
      <c r="U27" s="69" t="s">
        <v>197</v>
      </c>
    </row>
    <row r="28" customFormat="false" ht="15.75" hidden="false" customHeight="false" outlineLevel="0" collapsed="false">
      <c r="A28" s="373" t="str">
        <f aca="false">HYPERLINK("https://phillipreeve.net/blog/review-zhong-yi-mitakon-50mm-0-95-iii/","Mitakon Zhongyi 0.95/50mm III Speedmaster ")</f>
        <v>Mitakon Zhongyi 0.95/50mm III Speedmaster </v>
      </c>
      <c r="B28" s="81" t="n">
        <v>775</v>
      </c>
      <c r="C28" s="121" t="n">
        <v>50</v>
      </c>
      <c r="D28" s="83" t="n">
        <v>0.95</v>
      </c>
      <c r="E28" s="84" t="n">
        <v>74</v>
      </c>
      <c r="F28" s="360" t="n">
        <v>85</v>
      </c>
      <c r="G28" s="361" t="s">
        <v>24</v>
      </c>
      <c r="H28" s="87" t="n">
        <v>67</v>
      </c>
      <c r="I28" s="86" t="n">
        <v>0.128</v>
      </c>
      <c r="J28" s="92" t="n">
        <v>799</v>
      </c>
      <c r="K28" s="94"/>
      <c r="L28" s="93" t="str">
        <f aca="false">HYPERLINK("https://www.bhphotovideo.com/c/product/1475646-REG/mitakon_zhongyi_mtk50f095m3fe_speedmaster_50mm_f_0_95_iii.html/BI/19619/KBID/12129/DFF/d10-v21-t1-x959565/SID/EZ","link*")</f>
        <v>link*</v>
      </c>
      <c r="M28" s="94"/>
      <c r="N28" s="94"/>
      <c r="O28" s="88" t="n">
        <v>50</v>
      </c>
      <c r="P28" s="89" t="s">
        <v>26</v>
      </c>
      <c r="Q28" s="86" t="n">
        <v>11</v>
      </c>
      <c r="R28" s="122" t="n">
        <v>43656</v>
      </c>
      <c r="S28" s="86" t="s">
        <v>212</v>
      </c>
      <c r="T28" s="86"/>
      <c r="U28" s="317" t="str">
        <f aca="false">HYPERLINK("https://phillipreeve.net/blog/review-zhong-yi-mitakon-50mm-0-95-iii/","See review for some issues.")</f>
        <v>See review for some issues.</v>
      </c>
    </row>
    <row r="29" customFormat="false" ht="15.75" hidden="false" customHeight="false" outlineLevel="0" collapsed="false">
      <c r="A29" s="373" t="str">
        <f aca="false">HYPERLINK("https://phillipreeve.net/blog/quick-review-zenitar-50mm-0-95-e/","Zenitar 0.95/50")</f>
        <v>Zenitar 0.95/50</v>
      </c>
      <c r="B29" s="81" t="n">
        <v>1110</v>
      </c>
      <c r="C29" s="121" t="n">
        <v>50</v>
      </c>
      <c r="D29" s="83" t="n">
        <v>0.95</v>
      </c>
      <c r="E29" s="84" t="n">
        <v>85</v>
      </c>
      <c r="F29" s="360" t="n">
        <v>119</v>
      </c>
      <c r="G29" s="361" t="s">
        <v>24</v>
      </c>
      <c r="H29" s="87" t="n">
        <v>72</v>
      </c>
      <c r="I29" s="86" t="n">
        <v>0.09</v>
      </c>
      <c r="J29" s="92" t="n">
        <v>900</v>
      </c>
      <c r="K29" s="94"/>
      <c r="L29" s="94"/>
      <c r="M29" s="94"/>
      <c r="N29" s="94"/>
      <c r="O29" s="88" t="n">
        <v>0.7</v>
      </c>
      <c r="P29" s="89" t="s">
        <v>26</v>
      </c>
      <c r="Q29" s="86" t="n">
        <v>14</v>
      </c>
      <c r="R29" s="122" t="n">
        <v>43686</v>
      </c>
      <c r="S29" s="86" t="s">
        <v>235</v>
      </c>
      <c r="T29" s="86"/>
      <c r="U29" s="69"/>
    </row>
    <row r="30" customFormat="false" ht="15.75" hidden="false" customHeight="false" outlineLevel="0" collapsed="false">
      <c r="A30" s="374" t="s">
        <v>236</v>
      </c>
      <c r="B30" s="81" t="n">
        <v>556</v>
      </c>
      <c r="C30" s="121" t="n">
        <v>50</v>
      </c>
      <c r="D30" s="83" t="n">
        <v>1.4</v>
      </c>
      <c r="E30" s="84" t="n">
        <v>81</v>
      </c>
      <c r="F30" s="360" t="n">
        <v>102</v>
      </c>
      <c r="G30" s="361" t="s">
        <v>24</v>
      </c>
      <c r="H30" s="87" t="n">
        <v>77</v>
      </c>
      <c r="I30" s="86"/>
      <c r="J30" s="92" t="n">
        <v>399</v>
      </c>
      <c r="K30" s="94"/>
      <c r="L30" s="93" t="str">
        <f aca="false">HYPERLINK("https://www.bhphotovideo.com/c/product/1089940-REG/rokinon_50m_e_50mm_f_1_4_lens_for.html/BI/19619/KBID/12129/DFF/d10-v21-t1-x569675/SID/EZ","link*")</f>
        <v>link*</v>
      </c>
      <c r="M30" s="94"/>
      <c r="N30" s="94"/>
      <c r="O30" s="88" t="n">
        <v>45</v>
      </c>
      <c r="P30" s="89" t="s">
        <v>26</v>
      </c>
      <c r="Q30" s="86" t="n">
        <v>8</v>
      </c>
      <c r="R30" s="122" t="n">
        <v>43625</v>
      </c>
      <c r="S30" s="86" t="s">
        <v>47</v>
      </c>
      <c r="T30" s="86"/>
      <c r="U30" s="69" t="s">
        <v>197</v>
      </c>
    </row>
    <row r="31" customFormat="false" ht="13.5" hidden="false" customHeight="true" outlineLevel="0" collapsed="false">
      <c r="A31" s="374" t="s">
        <v>237</v>
      </c>
      <c r="B31" s="81" t="n">
        <v>310</v>
      </c>
      <c r="C31" s="121" t="n">
        <v>50</v>
      </c>
      <c r="D31" s="83" t="n">
        <v>1.7</v>
      </c>
      <c r="E31" s="84" t="n">
        <v>55</v>
      </c>
      <c r="F31" s="360" t="n">
        <v>61</v>
      </c>
      <c r="G31" s="361" t="s">
        <v>24</v>
      </c>
      <c r="H31" s="87" t="n">
        <v>52</v>
      </c>
      <c r="I31" s="86"/>
      <c r="J31" s="92" t="n">
        <v>109</v>
      </c>
      <c r="K31" s="94"/>
      <c r="L31" s="93" t="str">
        <f aca="false">HYPERLINK("https://www.bhphotovideo.com/c/product/1450522-REG/meike_mk50f1_7nex_mk_50mm_f1_7_for_full.html/BI/19619/KBID/12129/DFF/d10-v21-t1-x935920/SID/EZ","link*")</f>
        <v>link*</v>
      </c>
      <c r="M31" s="94"/>
      <c r="N31" s="94"/>
      <c r="O31" s="88" t="n">
        <v>50</v>
      </c>
      <c r="P31" s="89" t="s">
        <v>26</v>
      </c>
      <c r="Q31" s="86"/>
      <c r="R31" s="122" t="n">
        <v>43591</v>
      </c>
      <c r="S31" s="86" t="s">
        <v>155</v>
      </c>
      <c r="T31" s="86"/>
      <c r="U31" s="69" t="s">
        <v>197</v>
      </c>
    </row>
    <row r="32" customFormat="false" ht="15.75" hidden="false" customHeight="false" outlineLevel="0" collapsed="false">
      <c r="A32" s="374" t="s">
        <v>238</v>
      </c>
      <c r="B32" s="81" t="n">
        <v>310</v>
      </c>
      <c r="C32" s="121" t="n">
        <v>50</v>
      </c>
      <c r="D32" s="83" t="n">
        <v>2.4</v>
      </c>
      <c r="E32" s="84" t="n">
        <v>58</v>
      </c>
      <c r="F32" s="360" t="n">
        <v>65</v>
      </c>
      <c r="G32" s="361" t="s">
        <v>24</v>
      </c>
      <c r="H32" s="87" t="n">
        <v>49</v>
      </c>
      <c r="I32" s="86"/>
      <c r="J32" s="92" t="n">
        <v>325</v>
      </c>
      <c r="K32" s="94"/>
      <c r="L32" s="93" t="str">
        <f aca="false">HYPERLINK("https://www.bhphotovideo.com/c/product/1456705-REG/kipon_50mm_f2_4_for_sony_e_50mm_f_2_4_lens_for.html/BI/19619/KBID/12129/DFF/d10-v21-t1-x945448/SID/EZ","link*")</f>
        <v>link*</v>
      </c>
      <c r="M32" s="94"/>
      <c r="N32" s="94"/>
      <c r="O32" s="88" t="n">
        <v>60</v>
      </c>
      <c r="P32" s="89" t="s">
        <v>26</v>
      </c>
      <c r="Q32" s="86" t="n">
        <v>6</v>
      </c>
      <c r="R32" s="122" t="n">
        <v>43622</v>
      </c>
      <c r="S32" s="86" t="s">
        <v>218</v>
      </c>
      <c r="T32" s="86"/>
    </row>
    <row r="33" customFormat="false" ht="15.75" hidden="false" customHeight="false" outlineLevel="0" collapsed="false">
      <c r="A33" s="375" t="s">
        <v>239</v>
      </c>
      <c r="B33" s="319" t="n">
        <v>200</v>
      </c>
      <c r="C33" s="320" t="n">
        <v>50</v>
      </c>
      <c r="D33" s="321" t="n">
        <v>2.9</v>
      </c>
      <c r="G33" s="323" t="s">
        <v>24</v>
      </c>
      <c r="H33" s="324" t="n">
        <v>35.5</v>
      </c>
      <c r="I33" s="325" t="n">
        <v>0.25</v>
      </c>
      <c r="J33" s="326" t="n">
        <v>548</v>
      </c>
      <c r="K33" s="327"/>
      <c r="L33" s="328" t="str">
        <f aca="false">HYPERLINK("https://www.bhphotovideo.com/c/product/1297915-REG/meyer_optik_g_rlitz_mog2950se_2_9_50_trioplan_lens_for.html/BI/19619/KBID/12129/DFF/d10-v21-t1-x778661/SID/EZ","link*")</f>
        <v>link*</v>
      </c>
      <c r="M33" s="327"/>
      <c r="N33" s="327"/>
      <c r="O33" s="329" t="n">
        <v>25</v>
      </c>
      <c r="P33" s="330" t="s">
        <v>26</v>
      </c>
      <c r="Q33" s="325" t="n">
        <v>12</v>
      </c>
      <c r="R33" s="366" t="n">
        <v>43527</v>
      </c>
      <c r="S33" s="325" t="s">
        <v>224</v>
      </c>
      <c r="T33" s="325"/>
      <c r="U33" s="332"/>
    </row>
    <row r="34" customFormat="false" ht="15.75" hidden="false" customHeight="false" outlineLevel="0" collapsed="false">
      <c r="A34" s="375" t="s">
        <v>240</v>
      </c>
      <c r="B34" s="342" t="n">
        <v>272</v>
      </c>
      <c r="C34" s="343" t="n">
        <v>55</v>
      </c>
      <c r="D34" s="344" t="n">
        <v>1.8</v>
      </c>
      <c r="E34" s="322" t="n">
        <v>60</v>
      </c>
      <c r="F34" s="322" t="n">
        <v>52</v>
      </c>
      <c r="G34" s="347" t="s">
        <v>24</v>
      </c>
      <c r="H34" s="348" t="n">
        <v>49</v>
      </c>
      <c r="I34" s="349"/>
      <c r="J34" s="350" t="n">
        <v>99</v>
      </c>
      <c r="K34" s="352" t="str">
        <f aca="false">HYPERLINK("https://amzn.to/2Uybk8g","link*")</f>
        <v>link*</v>
      </c>
      <c r="L34" s="351"/>
      <c r="M34" s="352" t="str">
        <f aca="false">HYPERLINK("https://amzn.to/2MYcusN","link*")</f>
        <v>link*</v>
      </c>
      <c r="N34" s="93" t="str">
        <f aca="false">HYPERLINK("http://rover.ebay.com/rover/1/711-53200-19255-0/1?icep_ff3=9&amp;pub=5575076376&amp;toolid=10001&amp;campid=5338573609&amp;customid=&amp;icep_uq=brightin+star+55mm+1.8+sony&amp;icep_sellerId=&amp;icep_ex_kw=&amp;icep_sortBy=12&amp;icep_catId=3323&amp;icep_minPrice=&amp;icep_maxPrice=&amp;ipn=psmain&amp;ice"&amp;"p_vectorid=229466&amp;kwid=902099&amp;mtid=824&amp;kw=lg","link*")</f>
        <v>link*</v>
      </c>
      <c r="O34" s="353" t="n">
        <v>50</v>
      </c>
      <c r="P34" s="354" t="s">
        <v>26</v>
      </c>
      <c r="Q34" s="349" t="n">
        <v>12</v>
      </c>
      <c r="R34" s="370" t="n">
        <v>43592</v>
      </c>
      <c r="S34" s="349" t="s">
        <v>241</v>
      </c>
      <c r="T34" s="332"/>
      <c r="U34" s="332"/>
    </row>
    <row r="35" customFormat="false" ht="15.75" hidden="false" customHeight="false" outlineLevel="0" collapsed="false">
      <c r="A35" s="375" t="s">
        <v>242</v>
      </c>
      <c r="B35" s="342" t="n">
        <v>400</v>
      </c>
      <c r="C35" s="343" t="n">
        <v>56</v>
      </c>
      <c r="D35" s="344" t="n">
        <v>1.6</v>
      </c>
      <c r="E35" s="368" t="n">
        <v>72</v>
      </c>
      <c r="F35" s="369" t="n">
        <v>95</v>
      </c>
      <c r="G35" s="347" t="s">
        <v>24</v>
      </c>
      <c r="H35" s="348" t="n">
        <v>62</v>
      </c>
      <c r="I35" s="349" t="n">
        <v>0.5</v>
      </c>
      <c r="J35" s="350" t="n">
        <v>449</v>
      </c>
      <c r="K35" s="351"/>
      <c r="L35" s="352" t="str">
        <f aca="false">HYPERLINK("https://www.bhphotovideo.com/c/product/1152532-REG/lensbaby_lbv56bx_velvet_56mm_f_1_6_lens.html/BI/19619/KBID/12129/DFF/d10-v21-t1-x638949/SID/EZ","link*")</f>
        <v>link*</v>
      </c>
      <c r="M35" s="351"/>
      <c r="N35" s="351"/>
      <c r="O35" s="353" t="n">
        <v>12.7</v>
      </c>
      <c r="P35" s="354" t="s">
        <v>26</v>
      </c>
      <c r="Q35" s="349"/>
      <c r="R35" s="370" t="n">
        <v>43528</v>
      </c>
      <c r="S35" s="349" t="s">
        <v>233</v>
      </c>
      <c r="T35" s="332"/>
      <c r="U35" s="332"/>
    </row>
    <row r="36" customFormat="false" ht="15.75" hidden="false" customHeight="false" outlineLevel="0" collapsed="false">
      <c r="A36" s="376" t="s">
        <v>243</v>
      </c>
      <c r="B36" s="342"/>
      <c r="C36" s="343" t="n">
        <v>58</v>
      </c>
      <c r="D36" s="344" t="n">
        <v>1.9</v>
      </c>
      <c r="E36" s="368"/>
      <c r="F36" s="368"/>
      <c r="G36" s="347" t="s">
        <v>24</v>
      </c>
      <c r="H36" s="348" t="n">
        <v>52</v>
      </c>
      <c r="I36" s="349"/>
      <c r="J36" s="350" t="n">
        <v>899</v>
      </c>
      <c r="K36" s="351"/>
      <c r="L36" s="352" t="str">
        <f aca="false">HYPERLINK("https://www.bhphotovideo.com/c/product/1486218-REG/meyer_optik_gorlitz_mog5819iise_primoplan_58_f1_9_ii.html/BI/19619/KBID/12129/DFF/d10-v21-t1-x969561/SID/EZ","link*")</f>
        <v>link*</v>
      </c>
      <c r="M36" s="351"/>
      <c r="N36" s="351"/>
      <c r="O36" s="353" t="n">
        <v>60</v>
      </c>
      <c r="P36" s="354" t="s">
        <v>244</v>
      </c>
      <c r="Q36" s="349" t="n">
        <v>12</v>
      </c>
      <c r="R36" s="370" t="n">
        <v>43560</v>
      </c>
      <c r="S36" s="349" t="s">
        <v>224</v>
      </c>
      <c r="T36" s="377" t="s">
        <v>245</v>
      </c>
      <c r="U36" s="332"/>
    </row>
    <row r="37" customFormat="false" ht="15.75" hidden="false" customHeight="false" outlineLevel="0" collapsed="false">
      <c r="A37" s="362" t="s">
        <v>246</v>
      </c>
      <c r="B37" s="342" t="n">
        <v>330</v>
      </c>
      <c r="C37" s="343" t="n">
        <v>75</v>
      </c>
      <c r="D37" s="344" t="n">
        <v>2.4</v>
      </c>
      <c r="E37" s="368" t="n">
        <v>58</v>
      </c>
      <c r="F37" s="368" t="n">
        <v>75</v>
      </c>
      <c r="G37" s="347" t="s">
        <v>24</v>
      </c>
      <c r="H37" s="348" t="n">
        <v>49</v>
      </c>
      <c r="I37" s="349"/>
      <c r="J37" s="350" t="n">
        <v>299</v>
      </c>
      <c r="K37" s="351"/>
      <c r="L37" s="352" t="str">
        <f aca="false">HYPERLINK("https://www.bhphotovideo.com/c/product/1456711-REG/kipon_75mm_f2_4_for_sony_e_75mm_f_2_4_lens_for.html/BI/19619/KBID/12129/DFF/d10-v21-t1-x945453/SID/EZ","link*")</f>
        <v>link*</v>
      </c>
      <c r="M37" s="351"/>
      <c r="N37" s="351"/>
      <c r="O37" s="353" t="n">
        <v>60</v>
      </c>
      <c r="P37" s="354" t="s">
        <v>26</v>
      </c>
      <c r="Q37" s="349" t="n">
        <v>6</v>
      </c>
      <c r="R37" s="370" t="n">
        <v>43590</v>
      </c>
      <c r="S37" s="349" t="s">
        <v>212</v>
      </c>
      <c r="T37" s="349"/>
      <c r="U37" s="332"/>
    </row>
    <row r="38" customFormat="false" ht="15.75" hidden="false" customHeight="false" outlineLevel="0" collapsed="false">
      <c r="A38" s="374" t="s">
        <v>247</v>
      </c>
      <c r="B38" s="40" t="n">
        <v>921</v>
      </c>
      <c r="C38" s="44" t="n">
        <v>85</v>
      </c>
      <c r="D38" s="42" t="n">
        <v>1.2</v>
      </c>
      <c r="E38" s="43"/>
      <c r="F38" s="43"/>
      <c r="G38" s="338" t="s">
        <v>24</v>
      </c>
      <c r="H38" s="46" t="n">
        <v>77</v>
      </c>
      <c r="I38" s="47"/>
      <c r="J38" s="51" t="n">
        <v>749</v>
      </c>
      <c r="K38" s="140"/>
      <c r="L38" s="52" t="str">
        <f aca="false">HYPERLINK("https://www.bhphotovideo.com/c/product/1148608-REG/mitakon_zhongyi_mtk85mf12se_mitakon_speedmaster_85mm_f_1_2.html/BI/19619/KBID/12129/DFF/d10-v21-t1-x635054/SID/EZ","link*")</f>
        <v>link*</v>
      </c>
      <c r="M38" s="140"/>
      <c r="N38" s="140"/>
      <c r="O38" s="48" t="n">
        <v>100</v>
      </c>
      <c r="P38" s="45" t="s">
        <v>26</v>
      </c>
      <c r="Q38" s="47" t="n">
        <v>11</v>
      </c>
      <c r="R38" s="79" t="n">
        <v>43625</v>
      </c>
      <c r="S38" s="47" t="s">
        <v>212</v>
      </c>
      <c r="T38" s="47"/>
    </row>
    <row r="39" customFormat="false" ht="15.75" hidden="false" customHeight="false" outlineLevel="0" collapsed="false">
      <c r="A39" s="294" t="s">
        <v>248</v>
      </c>
      <c r="B39" s="81" t="n">
        <v>570</v>
      </c>
      <c r="C39" s="121" t="n">
        <v>85</v>
      </c>
      <c r="D39" s="83" t="n">
        <v>1.4</v>
      </c>
      <c r="E39" s="84" t="n">
        <v>78</v>
      </c>
      <c r="F39" s="84" t="n">
        <v>101</v>
      </c>
      <c r="G39" s="361" t="s">
        <v>24</v>
      </c>
      <c r="H39" s="87" t="n">
        <v>72</v>
      </c>
      <c r="I39" s="86"/>
      <c r="J39" s="92" t="n">
        <v>279</v>
      </c>
      <c r="K39" s="94"/>
      <c r="L39" s="93" t="str">
        <f aca="false">HYPERLINK("https://www.bhphotovideo.com/c/product/1024119-REG/samyang_sy85m_e_85mm_f_1_4_lens_for.html/BI/19619/KBID/12129/DFF/d10-v21-t1-x500622/SID/EZ","link*")</f>
        <v>link*</v>
      </c>
      <c r="M39" s="94"/>
      <c r="N39" s="94"/>
      <c r="O39" s="88" t="n">
        <v>100</v>
      </c>
      <c r="P39" s="89" t="s">
        <v>26</v>
      </c>
      <c r="Q39" s="86" t="n">
        <v>8</v>
      </c>
      <c r="R39" s="122" t="n">
        <v>43655</v>
      </c>
      <c r="S39" s="86" t="s">
        <v>47</v>
      </c>
      <c r="T39" s="86"/>
    </row>
    <row r="40" customFormat="false" ht="15.75" hidden="false" customHeight="false" outlineLevel="0" collapsed="false">
      <c r="A40" s="294" t="s">
        <v>249</v>
      </c>
      <c r="B40" s="81" t="n">
        <v>644</v>
      </c>
      <c r="C40" s="121" t="n">
        <v>85</v>
      </c>
      <c r="D40" s="83" t="n">
        <v>1.8</v>
      </c>
      <c r="E40" s="84" t="n">
        <v>76</v>
      </c>
      <c r="F40" s="84" t="n">
        <v>128</v>
      </c>
      <c r="G40" s="361" t="s">
        <v>24</v>
      </c>
      <c r="H40" s="87" t="n">
        <v>67</v>
      </c>
      <c r="I40" s="86" t="n">
        <v>0.5</v>
      </c>
      <c r="J40" s="92" t="n">
        <v>499</v>
      </c>
      <c r="K40" s="94"/>
      <c r="L40" s="93" t="str">
        <f aca="false">HYPERLINK("https://www.bhphotovideo.com/c/product/1338157-REG/lensbaby_lbv85x_velvet_85_for_sony.html/BI/19619/KBID/12129/DFF/d10-v21-t1-x830878/SID/EZ","link*")</f>
        <v>link*</v>
      </c>
      <c r="M40" s="94"/>
      <c r="N40" s="94"/>
      <c r="O40" s="88" t="n">
        <v>24</v>
      </c>
      <c r="P40" s="89" t="s">
        <v>26</v>
      </c>
      <c r="Q40" s="86" t="n">
        <v>12</v>
      </c>
      <c r="R40" s="122" t="n">
        <v>43528</v>
      </c>
      <c r="S40" s="86" t="s">
        <v>233</v>
      </c>
      <c r="T40" s="86"/>
    </row>
    <row r="41" customFormat="false" ht="15.75" hidden="false" customHeight="false" outlineLevel="0" collapsed="false">
      <c r="A41" s="362" t="s">
        <v>250</v>
      </c>
      <c r="B41" s="319" t="n">
        <v>500</v>
      </c>
      <c r="C41" s="320" t="n">
        <v>85</v>
      </c>
      <c r="D41" s="321" t="n">
        <v>2.8</v>
      </c>
      <c r="E41" s="322" t="n">
        <v>64</v>
      </c>
      <c r="F41" s="322" t="n">
        <v>117</v>
      </c>
      <c r="G41" s="323" t="s">
        <v>24</v>
      </c>
      <c r="H41" s="324" t="n">
        <v>55</v>
      </c>
      <c r="I41" s="325" t="n">
        <v>1.5</v>
      </c>
      <c r="J41" s="326" t="n">
        <v>269</v>
      </c>
      <c r="K41" s="327"/>
      <c r="L41" s="328" t="str">
        <f aca="false">HYPERLINK("https://www.bhphotovideo.com/c/product/1451858-REG/meike_mk85f2_8e_85mm_f2_8_manual_macro.html/BI/19619/KBID/12129/DFF/d10-v21-t1-x936762/SID/EZ","link*")</f>
        <v>link*</v>
      </c>
      <c r="M41" s="327"/>
      <c r="N41" s="327"/>
      <c r="O41" s="329" t="n">
        <v>25</v>
      </c>
      <c r="P41" s="330" t="s">
        <v>26</v>
      </c>
      <c r="Q41" s="325" t="n">
        <v>12</v>
      </c>
      <c r="R41" s="366" t="n">
        <v>43688</v>
      </c>
      <c r="S41" s="325" t="s">
        <v>155</v>
      </c>
      <c r="T41" s="325"/>
      <c r="U41" s="332"/>
    </row>
    <row r="42" customFormat="false" ht="15.75" hidden="false" customHeight="false" outlineLevel="0" collapsed="false">
      <c r="A42" s="362" t="s">
        <v>251</v>
      </c>
      <c r="B42" s="342" t="n">
        <v>340</v>
      </c>
      <c r="C42" s="343" t="n">
        <v>90</v>
      </c>
      <c r="D42" s="344" t="n">
        <v>2.4</v>
      </c>
      <c r="E42" s="368" t="n">
        <v>58</v>
      </c>
      <c r="F42" s="368" t="n">
        <v>79</v>
      </c>
      <c r="G42" s="347" t="s">
        <v>24</v>
      </c>
      <c r="H42" s="348" t="n">
        <v>49</v>
      </c>
      <c r="I42" s="349"/>
      <c r="J42" s="350" t="n">
        <v>386</v>
      </c>
      <c r="K42" s="351"/>
      <c r="L42" s="352" t="str">
        <f aca="false">HYPERLINK("https://www.bhphotovideo.com/c/product/1456717-REG/kipon_90mm_f2_4_for_sony_e_90mm_f_2_4_lens_for.html/BI/19619/KBID/12129/DFF/d10-v21-t1-x945458/SID/EZ","link*")</f>
        <v>link*</v>
      </c>
      <c r="M42" s="351"/>
      <c r="N42" s="351"/>
      <c r="O42" s="353" t="n">
        <v>70</v>
      </c>
      <c r="P42" s="354" t="s">
        <v>26</v>
      </c>
      <c r="Q42" s="349" t="n">
        <v>10</v>
      </c>
      <c r="R42" s="370" t="n">
        <v>43559</v>
      </c>
      <c r="S42" s="349" t="s">
        <v>218</v>
      </c>
      <c r="T42" s="349"/>
      <c r="U42" s="332"/>
    </row>
    <row r="43" customFormat="false" ht="15.75" hidden="false" customHeight="false" outlineLevel="0" collapsed="false">
      <c r="A43" s="294" t="s">
        <v>252</v>
      </c>
      <c r="B43" s="40"/>
      <c r="C43" s="44" t="n">
        <v>100</v>
      </c>
      <c r="D43" s="42" t="n">
        <v>2.8</v>
      </c>
      <c r="E43" s="43"/>
      <c r="F43" s="43"/>
      <c r="G43" s="338" t="s">
        <v>24</v>
      </c>
      <c r="H43" s="46" t="n">
        <v>52</v>
      </c>
      <c r="I43" s="47"/>
      <c r="J43" s="51" t="n">
        <v>648</v>
      </c>
      <c r="K43" s="140"/>
      <c r="L43" s="52" t="str">
        <f aca="false">HYPERLINK("https://www.bhphotovideo.com/c/product/1297908-REG/meyer_optik_g_rlitz_mog28100se_2_8_100_trioplan_lens_for.html/BI/19619/KBID/12129/DFF/d10-v21-t1-x778654/SID/EZ","link*")</f>
        <v>link*</v>
      </c>
      <c r="M43" s="140"/>
      <c r="N43" s="140"/>
      <c r="O43" s="48" t="n">
        <v>100</v>
      </c>
      <c r="P43" s="45" t="s">
        <v>26</v>
      </c>
      <c r="Q43" s="47" t="n">
        <v>15</v>
      </c>
      <c r="R43" s="79" t="n">
        <v>43527</v>
      </c>
      <c r="S43" s="47" t="s">
        <v>224</v>
      </c>
      <c r="T43" s="47"/>
    </row>
    <row r="44" customFormat="false" ht="15.75" hidden="false" customHeight="false" outlineLevel="0" collapsed="false">
      <c r="A44" s="144" t="str">
        <f aca="false">HYPERLINK("https://phillipreeve.net/blog/laowa-100mm-f2-8-ca-dreamer-macro-2x-a-review/","Venus Optics Laowa 100mm f/2.8 Ultra Macro APO")</f>
        <v>Venus Optics Laowa 100mm f/2.8 Ultra Macro APO</v>
      </c>
      <c r="B44" s="81" t="n">
        <v>657</v>
      </c>
      <c r="C44" s="121" t="n">
        <v>100</v>
      </c>
      <c r="D44" s="83" t="n">
        <v>2.8</v>
      </c>
      <c r="E44" s="84" t="n">
        <v>72</v>
      </c>
      <c r="F44" s="84" t="n">
        <v>155</v>
      </c>
      <c r="G44" s="361" t="s">
        <v>24</v>
      </c>
      <c r="H44" s="87" t="n">
        <v>67</v>
      </c>
      <c r="I44" s="86" t="n">
        <v>2</v>
      </c>
      <c r="J44" s="92" t="n">
        <v>449</v>
      </c>
      <c r="K44" s="94"/>
      <c r="L44" s="93" t="str">
        <f aca="false">HYPERLINK("https://www.bhphotovideo.com/c/product/1478041-REG/venus_optics_ve10028sfe_laowa_100mm_f_2_8_2x.html/BI/19619/KBID/12129/DFF/d10-v21-t1-x962119/SID/EZ","link*")</f>
        <v>link*</v>
      </c>
      <c r="M44" s="94"/>
      <c r="N44" s="94"/>
      <c r="O44" s="88" t="n">
        <v>25</v>
      </c>
      <c r="P44" s="89" t="s">
        <v>26</v>
      </c>
      <c r="Q44" s="86" t="n">
        <v>13</v>
      </c>
      <c r="R44" s="122" t="n">
        <v>43750</v>
      </c>
      <c r="S44" s="86" t="s">
        <v>196</v>
      </c>
      <c r="T44" s="86"/>
    </row>
    <row r="45" customFormat="false" ht="15.75" hidden="false" customHeight="false" outlineLevel="0" collapsed="false">
      <c r="A45" s="378" t="s">
        <v>253</v>
      </c>
      <c r="B45" s="319" t="n">
        <v>730</v>
      </c>
      <c r="C45" s="320" t="n">
        <v>100</v>
      </c>
      <c r="D45" s="321" t="n">
        <v>2.8</v>
      </c>
      <c r="E45" s="322" t="n">
        <v>72.5</v>
      </c>
      <c r="F45" s="322" t="n">
        <v>149</v>
      </c>
      <c r="G45" s="323" t="s">
        <v>24</v>
      </c>
      <c r="H45" s="324" t="n">
        <v>67</v>
      </c>
      <c r="I45" s="325" t="n">
        <v>1</v>
      </c>
      <c r="J45" s="326" t="n">
        <v>549</v>
      </c>
      <c r="K45" s="327"/>
      <c r="L45" s="328" t="str">
        <f aca="false">HYPERLINK("https://www.bhphotovideo.com/c/product/1140597-REG/samyang_sy100m_e_100mm_f_2_8_ed_umc.html/BI/19619/KBID/12129/DFF/d10-v21-t1-x627223/SID/EZ","link*")</f>
        <v>link*</v>
      </c>
      <c r="M45" s="327"/>
      <c r="N45" s="327"/>
      <c r="O45" s="329" t="n">
        <v>30.7</v>
      </c>
      <c r="P45" s="330" t="s">
        <v>26</v>
      </c>
      <c r="Q45" s="325" t="n">
        <v>9</v>
      </c>
      <c r="R45" s="331" t="s">
        <v>95</v>
      </c>
      <c r="S45" s="325" t="s">
        <v>47</v>
      </c>
      <c r="T45" s="325"/>
      <c r="U45" s="332"/>
    </row>
    <row r="46" customFormat="false" ht="15.75" hidden="false" customHeight="false" outlineLevel="0" collapsed="false">
      <c r="A46" s="341" t="str">
        <f aca="false">HYPERLINK("https://phillipreeve.net/blog/review-laowa-stf-105mm-f2-0-t3-2/","Venus Optics Laowa 105mm f/2 STF")</f>
        <v>Venus Optics Laowa 105mm f/2 STF</v>
      </c>
      <c r="B46" s="342" t="n">
        <v>745</v>
      </c>
      <c r="C46" s="343" t="n">
        <v>105</v>
      </c>
      <c r="D46" s="344" t="n">
        <v>2</v>
      </c>
      <c r="E46" s="379" t="n">
        <v>76</v>
      </c>
      <c r="F46" s="346" t="n">
        <v>99</v>
      </c>
      <c r="G46" s="347" t="s">
        <v>24</v>
      </c>
      <c r="H46" s="348" t="n">
        <v>67</v>
      </c>
      <c r="I46" s="349" t="n">
        <v>0.16</v>
      </c>
      <c r="J46" s="350" t="n">
        <v>699</v>
      </c>
      <c r="K46" s="351"/>
      <c r="L46" s="352" t="str">
        <f aca="false">HYPERLINK("https://www.bhphotovideo.com/c/product/1240051-REG/venus_optics_ve10520sfe_laowa_105mm_f_2_smooth.html/BI/19619/KBID/12129/DFF/d10-v21-t1-x721877/SID/EZ","link*")</f>
        <v>link*</v>
      </c>
      <c r="M46" s="351"/>
      <c r="N46" s="351"/>
      <c r="O46" s="353" t="n">
        <v>90</v>
      </c>
      <c r="P46" s="354" t="s">
        <v>26</v>
      </c>
      <c r="Q46" s="349" t="n">
        <v>8</v>
      </c>
      <c r="R46" s="355" t="s">
        <v>254</v>
      </c>
      <c r="S46" s="349" t="s">
        <v>196</v>
      </c>
      <c r="T46" s="349"/>
      <c r="U46" s="332" t="s">
        <v>255</v>
      </c>
    </row>
    <row r="47" customFormat="false" ht="15.75" hidden="false" customHeight="false" outlineLevel="0" collapsed="false">
      <c r="A47" s="341" t="str">
        <f aca="false">HYPERLINK("https://phillipreeve.net/blog/review-samyang/","Samyang 135mm f/2.0 ED UMC")</f>
        <v>Samyang 135mm f/2.0 ED UMC</v>
      </c>
      <c r="B47" s="342" t="n">
        <v>840</v>
      </c>
      <c r="C47" s="343" t="n">
        <v>135</v>
      </c>
      <c r="D47" s="344" t="n">
        <v>2</v>
      </c>
      <c r="E47" s="368" t="n">
        <v>82</v>
      </c>
      <c r="F47" s="368" t="n">
        <v>148</v>
      </c>
      <c r="G47" s="347" t="s">
        <v>24</v>
      </c>
      <c r="H47" s="348" t="n">
        <v>77</v>
      </c>
      <c r="I47" s="349"/>
      <c r="J47" s="350" t="n">
        <v>549</v>
      </c>
      <c r="K47" s="351"/>
      <c r="L47" s="352" t="str">
        <f aca="false">HYPERLINK("https://www.bhphotovideo.com/c/product/1110690-REG/samyang_sy135m_e_135mm_f_2_lens_for.html/BI/19619/KBID/12129/DFF/d10-v21-t1-x594188/SID/EZ","link*")</f>
        <v>link*</v>
      </c>
      <c r="M47" s="351"/>
      <c r="N47" s="351"/>
      <c r="O47" s="353" t="n">
        <v>90</v>
      </c>
      <c r="P47" s="354" t="s">
        <v>26</v>
      </c>
      <c r="Q47" s="349" t="n">
        <v>9</v>
      </c>
      <c r="R47" s="355" t="s">
        <v>256</v>
      </c>
      <c r="S47" s="349" t="s">
        <v>47</v>
      </c>
      <c r="T47" s="349"/>
      <c r="U47" s="332"/>
    </row>
    <row r="48" customFormat="false" ht="15.75" hidden="true" customHeight="false" outlineLevel="0" collapsed="false">
      <c r="A48" s="294"/>
      <c r="B48" s="295"/>
      <c r="C48" s="296"/>
      <c r="D48" s="297"/>
      <c r="E48" s="133"/>
      <c r="F48" s="380"/>
      <c r="G48" s="69"/>
      <c r="H48" s="298"/>
      <c r="I48" s="69"/>
      <c r="J48" s="300"/>
      <c r="K48" s="301"/>
      <c r="L48" s="301"/>
      <c r="M48" s="301"/>
      <c r="N48" s="301"/>
      <c r="O48" s="299"/>
      <c r="P48" s="69"/>
      <c r="Q48" s="69"/>
      <c r="R48" s="69"/>
      <c r="S48" s="69"/>
      <c r="T48" s="69"/>
    </row>
    <row r="49" customFormat="false" ht="15.75" hidden="true" customHeight="false" outlineLevel="0" collapsed="false">
      <c r="A49" s="294"/>
      <c r="B49" s="295"/>
      <c r="C49" s="296"/>
      <c r="D49" s="297"/>
      <c r="E49" s="133"/>
      <c r="F49" s="380"/>
      <c r="G49" s="69"/>
      <c r="H49" s="298"/>
      <c r="I49" s="69"/>
      <c r="J49" s="300"/>
      <c r="K49" s="301"/>
      <c r="L49" s="301"/>
      <c r="M49" s="301"/>
      <c r="N49" s="301"/>
      <c r="O49" s="299"/>
      <c r="P49" s="69"/>
      <c r="Q49" s="69"/>
      <c r="R49" s="69"/>
      <c r="S49" s="69"/>
      <c r="T49" s="69"/>
    </row>
    <row r="50" customFormat="false" ht="15.75" hidden="true" customHeight="false" outlineLevel="0" collapsed="false">
      <c r="A50" s="294"/>
      <c r="B50" s="295"/>
      <c r="C50" s="296"/>
      <c r="D50" s="297"/>
      <c r="E50" s="133"/>
      <c r="F50" s="380"/>
      <c r="G50" s="69"/>
      <c r="H50" s="298"/>
      <c r="I50" s="69"/>
      <c r="J50" s="300"/>
      <c r="K50" s="301"/>
      <c r="L50" s="301"/>
      <c r="M50" s="301"/>
      <c r="N50" s="301"/>
      <c r="O50" s="299"/>
      <c r="P50" s="69"/>
      <c r="Q50" s="69"/>
      <c r="R50" s="69"/>
      <c r="S50" s="69"/>
      <c r="T50" s="69"/>
    </row>
    <row r="51" customFormat="false" ht="15.75" hidden="true" customHeight="false" outlineLevel="0" collapsed="false">
      <c r="A51" s="294"/>
      <c r="B51" s="295"/>
      <c r="C51" s="296"/>
      <c r="D51" s="297"/>
      <c r="E51" s="133"/>
      <c r="F51" s="380"/>
      <c r="G51" s="69"/>
      <c r="H51" s="298"/>
      <c r="I51" s="69"/>
      <c r="J51" s="300"/>
      <c r="K51" s="301"/>
      <c r="L51" s="301"/>
      <c r="M51" s="301"/>
      <c r="N51" s="301"/>
      <c r="O51" s="299"/>
      <c r="P51" s="69"/>
      <c r="Q51" s="69"/>
      <c r="R51" s="69"/>
      <c r="S51" s="69"/>
      <c r="T51" s="69"/>
    </row>
    <row r="52" customFormat="false" ht="15.75" hidden="true" customHeight="false" outlineLevel="0" collapsed="false">
      <c r="A52" s="294"/>
      <c r="B52" s="295"/>
      <c r="C52" s="296"/>
      <c r="D52" s="297"/>
      <c r="E52" s="133"/>
      <c r="F52" s="381"/>
      <c r="G52" s="69"/>
      <c r="H52" s="298"/>
      <c r="I52" s="69"/>
      <c r="J52" s="300"/>
      <c r="K52" s="301"/>
      <c r="L52" s="301"/>
      <c r="M52" s="301"/>
      <c r="N52" s="301"/>
      <c r="O52" s="299"/>
      <c r="P52" s="69"/>
      <c r="Q52" s="69"/>
      <c r="R52" s="69"/>
      <c r="S52" s="69"/>
      <c r="T52" s="69"/>
    </row>
    <row r="53" customFormat="false" ht="15.75" hidden="true" customHeight="false" outlineLevel="0" collapsed="false">
      <c r="A53" s="294"/>
      <c r="B53" s="295"/>
      <c r="C53" s="296"/>
      <c r="D53" s="297"/>
      <c r="E53" s="133"/>
      <c r="F53" s="380"/>
      <c r="G53" s="69"/>
      <c r="H53" s="298"/>
      <c r="I53" s="69"/>
      <c r="J53" s="300"/>
      <c r="K53" s="301"/>
      <c r="L53" s="301"/>
      <c r="M53" s="301"/>
      <c r="N53" s="301"/>
      <c r="O53" s="299"/>
      <c r="P53" s="69"/>
      <c r="Q53" s="69"/>
      <c r="R53" s="69"/>
      <c r="S53" s="69"/>
      <c r="T53" s="69"/>
    </row>
    <row r="54" customFormat="false" ht="15.75" hidden="true" customHeight="false" outlineLevel="0" collapsed="false">
      <c r="A54" s="294"/>
      <c r="B54" s="295"/>
      <c r="C54" s="296"/>
      <c r="D54" s="297"/>
      <c r="E54" s="133"/>
      <c r="F54" s="380"/>
      <c r="G54" s="69"/>
      <c r="H54" s="298"/>
      <c r="I54" s="69"/>
      <c r="J54" s="300"/>
      <c r="K54" s="301"/>
      <c r="L54" s="301"/>
      <c r="M54" s="301"/>
      <c r="N54" s="301"/>
      <c r="O54" s="299"/>
      <c r="P54" s="69"/>
      <c r="Q54" s="69"/>
      <c r="R54" s="69"/>
      <c r="S54" s="69"/>
      <c r="T54" s="69"/>
    </row>
    <row r="55" customFormat="false" ht="15.75" hidden="true" customHeight="false" outlineLevel="0" collapsed="false">
      <c r="A55" s="294"/>
      <c r="B55" s="295"/>
      <c r="C55" s="296"/>
      <c r="D55" s="297"/>
      <c r="E55" s="133"/>
      <c r="F55" s="380"/>
      <c r="G55" s="69"/>
      <c r="H55" s="298"/>
      <c r="I55" s="69"/>
      <c r="J55" s="300"/>
      <c r="K55" s="301"/>
      <c r="L55" s="301"/>
      <c r="M55" s="301"/>
      <c r="N55" s="301"/>
      <c r="O55" s="299"/>
      <c r="P55" s="69"/>
      <c r="Q55" s="69"/>
      <c r="R55" s="69"/>
      <c r="S55" s="69"/>
      <c r="T55" s="69"/>
    </row>
    <row r="56" customFormat="false" ht="15.75" hidden="true" customHeight="false" outlineLevel="0" collapsed="false">
      <c r="A56" s="294"/>
      <c r="B56" s="295"/>
      <c r="C56" s="296"/>
      <c r="D56" s="297"/>
      <c r="E56" s="133"/>
      <c r="F56" s="380"/>
      <c r="G56" s="69"/>
      <c r="H56" s="298"/>
      <c r="I56" s="69"/>
      <c r="J56" s="300"/>
      <c r="K56" s="301"/>
      <c r="L56" s="301"/>
      <c r="M56" s="301"/>
      <c r="N56" s="301"/>
      <c r="O56" s="299"/>
      <c r="P56" s="69"/>
      <c r="Q56" s="69"/>
      <c r="R56" s="69"/>
      <c r="S56" s="69"/>
      <c r="T56" s="69"/>
    </row>
    <row r="57" customFormat="false" ht="15.75" hidden="true" customHeight="false" outlineLevel="0" collapsed="false">
      <c r="A57" s="294"/>
      <c r="B57" s="295"/>
      <c r="C57" s="296"/>
      <c r="D57" s="297"/>
      <c r="E57" s="133"/>
      <c r="F57" s="380"/>
      <c r="G57" s="69"/>
      <c r="H57" s="298"/>
      <c r="I57" s="69"/>
      <c r="J57" s="300"/>
      <c r="K57" s="301"/>
      <c r="L57" s="301"/>
      <c r="M57" s="301"/>
      <c r="N57" s="301"/>
      <c r="O57" s="299"/>
      <c r="P57" s="69"/>
      <c r="Q57" s="69"/>
      <c r="R57" s="69"/>
      <c r="S57" s="69"/>
      <c r="T57" s="69"/>
    </row>
    <row r="58" customFormat="false" ht="15.75" hidden="true" customHeight="false" outlineLevel="0" collapsed="false">
      <c r="A58" s="294"/>
      <c r="B58" s="295"/>
      <c r="C58" s="296"/>
      <c r="D58" s="297"/>
      <c r="E58" s="133"/>
      <c r="F58" s="381"/>
      <c r="G58" s="69"/>
      <c r="H58" s="298"/>
      <c r="I58" s="69"/>
      <c r="J58" s="300"/>
      <c r="K58" s="301"/>
      <c r="L58" s="301"/>
      <c r="M58" s="301"/>
      <c r="N58" s="301"/>
      <c r="O58" s="299"/>
      <c r="P58" s="69"/>
      <c r="Q58" s="69"/>
      <c r="R58" s="69"/>
      <c r="S58" s="69"/>
      <c r="T58" s="69"/>
    </row>
    <row r="59" customFormat="false" ht="15.75" hidden="true" customHeight="false" outlineLevel="0" collapsed="false">
      <c r="A59" s="294"/>
      <c r="B59" s="295"/>
      <c r="C59" s="296"/>
      <c r="D59" s="297"/>
      <c r="E59" s="133"/>
      <c r="F59" s="380"/>
      <c r="G59" s="69"/>
      <c r="H59" s="298"/>
      <c r="I59" s="69"/>
      <c r="J59" s="300"/>
      <c r="K59" s="301"/>
      <c r="L59" s="301"/>
      <c r="M59" s="301"/>
      <c r="N59" s="301"/>
      <c r="O59" s="299"/>
      <c r="P59" s="69"/>
      <c r="Q59" s="69"/>
      <c r="R59" s="69"/>
      <c r="S59" s="69"/>
      <c r="T59" s="69"/>
    </row>
    <row r="60" customFormat="false" ht="15.75" hidden="true" customHeight="false" outlineLevel="0" collapsed="false">
      <c r="A60" s="294"/>
      <c r="B60" s="295"/>
      <c r="C60" s="296"/>
      <c r="D60" s="297"/>
      <c r="E60" s="196"/>
      <c r="F60" s="382"/>
      <c r="G60" s="69"/>
      <c r="H60" s="298"/>
      <c r="I60" s="69"/>
      <c r="J60" s="300"/>
      <c r="K60" s="301"/>
      <c r="L60" s="301"/>
      <c r="M60" s="301"/>
      <c r="N60" s="301"/>
      <c r="O60" s="299"/>
      <c r="P60" s="69"/>
      <c r="Q60" s="69"/>
      <c r="R60" s="69"/>
      <c r="S60" s="69"/>
      <c r="T60" s="69"/>
    </row>
    <row r="61" customFormat="false" ht="15.75" hidden="true" customHeight="false" outlineLevel="0" collapsed="false">
      <c r="A61" s="294"/>
      <c r="B61" s="295"/>
      <c r="C61" s="296"/>
      <c r="D61" s="297"/>
      <c r="E61" s="302"/>
      <c r="F61" s="310"/>
      <c r="G61" s="69"/>
      <c r="H61" s="298"/>
      <c r="I61" s="69"/>
      <c r="J61" s="300"/>
      <c r="K61" s="301"/>
      <c r="L61" s="301"/>
      <c r="M61" s="301"/>
      <c r="N61" s="301"/>
      <c r="O61" s="299"/>
      <c r="P61" s="69"/>
      <c r="Q61" s="69"/>
      <c r="R61" s="69"/>
      <c r="S61" s="69"/>
      <c r="T61" s="69"/>
    </row>
    <row r="62" customFormat="false" ht="15.75" hidden="true" customHeight="false" outlineLevel="0" collapsed="false">
      <c r="A62" s="294"/>
      <c r="B62" s="295"/>
      <c r="C62" s="296"/>
      <c r="D62" s="297"/>
      <c r="E62" s="302"/>
      <c r="F62" s="310"/>
      <c r="G62" s="69"/>
      <c r="H62" s="298"/>
      <c r="I62" s="69"/>
      <c r="J62" s="300"/>
      <c r="K62" s="301"/>
      <c r="L62" s="301"/>
      <c r="M62" s="301"/>
      <c r="N62" s="301"/>
      <c r="O62" s="299"/>
      <c r="P62" s="69"/>
      <c r="Q62" s="69"/>
      <c r="R62" s="69"/>
      <c r="S62" s="69"/>
      <c r="T62" s="69"/>
    </row>
    <row r="63" customFormat="false" ht="15.75" hidden="true" customHeight="false" outlineLevel="0" collapsed="false">
      <c r="A63" s="294"/>
      <c r="B63" s="295"/>
      <c r="C63" s="296"/>
      <c r="D63" s="297"/>
      <c r="E63" s="302"/>
      <c r="F63" s="310"/>
      <c r="G63" s="69"/>
      <c r="H63" s="298"/>
      <c r="I63" s="69"/>
      <c r="J63" s="300"/>
      <c r="K63" s="301"/>
      <c r="L63" s="301"/>
      <c r="M63" s="301"/>
      <c r="N63" s="301"/>
      <c r="O63" s="299"/>
      <c r="P63" s="69"/>
      <c r="Q63" s="69"/>
      <c r="R63" s="69"/>
      <c r="S63" s="69"/>
      <c r="T63" s="69"/>
    </row>
    <row r="64" customFormat="false" ht="15.75" hidden="true" customHeight="false" outlineLevel="0" collapsed="false">
      <c r="A64" s="294"/>
      <c r="B64" s="295"/>
      <c r="C64" s="296"/>
      <c r="D64" s="297"/>
      <c r="E64" s="302"/>
      <c r="F64" s="310"/>
      <c r="G64" s="69"/>
      <c r="H64" s="298"/>
      <c r="I64" s="69"/>
      <c r="J64" s="300"/>
      <c r="K64" s="301"/>
      <c r="L64" s="301"/>
      <c r="M64" s="301"/>
      <c r="N64" s="301"/>
      <c r="O64" s="299"/>
      <c r="P64" s="69"/>
      <c r="Q64" s="69"/>
      <c r="R64" s="69"/>
      <c r="S64" s="69"/>
      <c r="T64" s="69"/>
    </row>
    <row r="65" customFormat="false" ht="15.75" hidden="true" customHeight="false" outlineLevel="0" collapsed="false">
      <c r="A65" s="294"/>
      <c r="B65" s="295"/>
      <c r="C65" s="296"/>
      <c r="D65" s="297"/>
      <c r="E65" s="302"/>
      <c r="F65" s="310"/>
      <c r="G65" s="69"/>
      <c r="H65" s="298"/>
      <c r="I65" s="69"/>
      <c r="J65" s="300"/>
      <c r="K65" s="301"/>
      <c r="L65" s="301"/>
      <c r="M65" s="301"/>
      <c r="N65" s="301"/>
      <c r="O65" s="299"/>
      <c r="P65" s="69"/>
      <c r="Q65" s="69"/>
      <c r="R65" s="69"/>
      <c r="S65" s="69"/>
      <c r="T65" s="69"/>
    </row>
    <row r="66" customFormat="false" ht="15.75" hidden="true" customHeight="false" outlineLevel="0" collapsed="false">
      <c r="A66" s="294"/>
      <c r="B66" s="295"/>
      <c r="C66" s="296"/>
      <c r="D66" s="297"/>
      <c r="E66" s="302"/>
      <c r="F66" s="310"/>
      <c r="G66" s="69"/>
      <c r="H66" s="298"/>
      <c r="I66" s="69"/>
      <c r="J66" s="300"/>
      <c r="K66" s="301"/>
      <c r="L66" s="301"/>
      <c r="M66" s="301"/>
      <c r="N66" s="301"/>
      <c r="O66" s="299"/>
      <c r="P66" s="69"/>
      <c r="Q66" s="69"/>
      <c r="R66" s="69"/>
      <c r="S66" s="69"/>
      <c r="T66" s="69"/>
    </row>
    <row r="67" customFormat="false" ht="15.75" hidden="false" customHeight="false" outlineLevel="0" collapsed="false">
      <c r="A67" s="294"/>
      <c r="B67" s="295"/>
      <c r="C67" s="296"/>
      <c r="D67" s="297"/>
      <c r="E67" s="302"/>
      <c r="F67" s="310"/>
      <c r="G67" s="69"/>
      <c r="H67" s="298"/>
      <c r="I67" s="69"/>
      <c r="J67" s="300"/>
      <c r="K67" s="301"/>
      <c r="L67" s="301"/>
      <c r="M67" s="301"/>
      <c r="N67" s="301"/>
      <c r="O67" s="299"/>
      <c r="P67" s="69"/>
      <c r="Q67" s="69"/>
      <c r="R67" s="69"/>
      <c r="S67" s="69"/>
      <c r="T67" s="69"/>
    </row>
    <row r="68" customFormat="false" ht="15.75" hidden="false" customHeight="false" outlineLevel="0" collapsed="false">
      <c r="A68" s="69" t="s">
        <v>181</v>
      </c>
      <c r="B68" s="383" t="n">
        <f aca="false">COUNT(C2:C66)</f>
        <v>44</v>
      </c>
      <c r="C68" s="69" t="s">
        <v>257</v>
      </c>
      <c r="D68" s="69"/>
      <c r="E68" s="302"/>
      <c r="F68" s="310"/>
      <c r="G68" s="69"/>
      <c r="H68" s="298"/>
      <c r="I68" s="69"/>
      <c r="J68" s="69"/>
      <c r="K68" s="301"/>
      <c r="L68" s="301"/>
      <c r="M68" s="301"/>
      <c r="N68" s="301"/>
      <c r="O68" s="69"/>
      <c r="P68" s="69"/>
      <c r="Q68" s="69"/>
      <c r="R68" s="69"/>
      <c r="S68" s="69"/>
      <c r="T68" s="69"/>
    </row>
    <row r="69" customFormat="false" ht="15.75" hidden="false" customHeight="false" outlineLevel="0" collapsed="false">
      <c r="A69" s="311" t="s">
        <v>258</v>
      </c>
      <c r="E69" s="302"/>
      <c r="F69" s="310"/>
      <c r="H69" s="298"/>
    </row>
    <row r="70" customFormat="false" ht="15.75" hidden="false" customHeight="false" outlineLevel="0" collapsed="false">
      <c r="A70" s="294"/>
      <c r="B70" s="69"/>
      <c r="C70" s="69"/>
      <c r="D70" s="69"/>
      <c r="E70" s="302"/>
      <c r="F70" s="310"/>
      <c r="G70" s="69"/>
      <c r="H70" s="298"/>
      <c r="I70" s="69"/>
      <c r="J70" s="69"/>
      <c r="K70" s="301"/>
      <c r="L70" s="301"/>
      <c r="M70" s="301"/>
      <c r="N70" s="301"/>
      <c r="O70" s="69"/>
      <c r="P70" s="69"/>
      <c r="Q70" s="69"/>
      <c r="R70" s="69"/>
      <c r="S70" s="69"/>
      <c r="T70" s="69"/>
    </row>
    <row r="71" customFormat="false" ht="15.75" hidden="false" customHeight="false" outlineLevel="0" collapsed="false">
      <c r="A71" s="384" t="str">
        <f aca="false">HYPERLINK("https://phillipreeve.net/blog/sony-fe-lenses/fe-list/","If you have a question or want to report any mistake please leave a comment on the blog.")</f>
        <v>If you have a question or want to report any mistake please leave a comment on the blog.</v>
      </c>
      <c r="B71" s="313"/>
      <c r="C71" s="313"/>
      <c r="D71" s="313"/>
      <c r="E71" s="314"/>
      <c r="F71" s="315"/>
      <c r="G71" s="313"/>
      <c r="H71" s="316"/>
      <c r="I71" s="313"/>
      <c r="J71" s="313"/>
      <c r="K71" s="301"/>
      <c r="L71" s="301"/>
      <c r="M71" s="301"/>
      <c r="N71" s="301"/>
    </row>
    <row r="72" customFormat="false" ht="15.75" hidden="false" customHeight="false" outlineLevel="0" collapsed="false">
      <c r="E72" s="302"/>
      <c r="F72" s="310"/>
    </row>
    <row r="73" customFormat="false" ht="15.75" hidden="false" customHeight="false" outlineLevel="0" collapsed="false">
      <c r="A73" s="294" t="s">
        <v>183</v>
      </c>
      <c r="E73" s="302"/>
      <c r="F73" s="310"/>
      <c r="H73" s="298"/>
    </row>
    <row r="74" customFormat="false" ht="15.75" hidden="false" customHeight="false" outlineLevel="0" collapsed="false">
      <c r="A74" s="317" t="str">
        <f aca="false">HYPERLINK("https://phillipreeve.net/blog/fe-lenses-sony-comprehensive-independent-guide/","Our Guide to FE-mount lenses - If you need any help on finding the right lens.")</f>
        <v>Our Guide to FE-mount lenses - If you need any help on finding the right lens.</v>
      </c>
      <c r="E74" s="302"/>
      <c r="F74" s="310"/>
      <c r="H74" s="298"/>
    </row>
    <row r="75" customFormat="false" ht="15.75" hidden="false" customHeight="false" outlineLevel="0" collapsed="false">
      <c r="A75" s="317" t="str">
        <f aca="false">HYPERLINK("https://phillipreeve.net/blog/9-golden-rules-to-buy-the-wrong-lens/","10 golden rules to buy the wrong lens.")</f>
        <v>10 golden rules to buy the wrong lens.</v>
      </c>
      <c r="E75" s="302"/>
      <c r="F75" s="310"/>
      <c r="H75" s="298"/>
    </row>
    <row r="76" customFormat="false" ht="15.75" hidden="false" customHeight="false" outlineLevel="0" collapsed="false">
      <c r="A76" s="317" t="str">
        <f aca="false">HYPERLINK("https://phillipreeve.net/blog/user-guide-ultra-wideangle-lenses-sony-alpha-7-series/","Our Guide to Ultra-Wideangle lenses")</f>
        <v>Our Guide to Ultra-Wideangle lenses</v>
      </c>
      <c r="E76" s="302"/>
      <c r="F76" s="310"/>
      <c r="H76" s="298"/>
    </row>
    <row r="77" customFormat="false" ht="15.75" hidden="false" customHeight="false" outlineLevel="0" collapsed="false">
      <c r="A77" s="317" t="str">
        <f aca="false">HYPERLINK("https://phillipreeve.net/blog/wideangle-lenses-for-the-sony-alpha-7-series/","Our Guide to Wideangle lenses")</f>
        <v>Our Guide to Wideangle lenses</v>
      </c>
      <c r="E77" s="302"/>
      <c r="F77" s="310"/>
      <c r="H77" s="298"/>
    </row>
    <row r="78" customFormat="false" ht="15.75" hidden="false" customHeight="false" outlineLevel="0" collapsed="false">
      <c r="A78" s="317" t="str">
        <f aca="false">HYPERLINK("https://phillipreeve.net/blog/guide-to-macro-lenses-for-the-sony-a7-series/","Our Guide to Macro lenses")</f>
        <v>Our Guide to Macro lenses</v>
      </c>
      <c r="E78" s="302"/>
      <c r="F78" s="310"/>
      <c r="H78" s="298"/>
    </row>
    <row r="79" customFormat="false" ht="15.75" hidden="false" customHeight="false" outlineLevel="0" collapsed="false">
      <c r="A79" s="317" t="str">
        <f aca="false">HYPERLINK("https://phillipreeve.net/blog/user-guide-to-portrait-lenses-sony-a7-series/","Our Guide to Portrait lenses")</f>
        <v>Our Guide to Portrait lenses</v>
      </c>
      <c r="E79" s="302"/>
      <c r="F79" s="310"/>
      <c r="H79" s="298"/>
    </row>
    <row r="80" customFormat="false" ht="15.75" hidden="false" customHeight="false" outlineLevel="0" collapsed="false">
      <c r="A80" s="317" t="str">
        <f aca="false">HYPERLINK("https://phillipreeve.net/blog/building-a-lens-kit/","Building a lens kit")</f>
        <v>Building a lens kit</v>
      </c>
      <c r="E80" s="302"/>
      <c r="F80" s="310"/>
      <c r="H80" s="298"/>
    </row>
    <row r="81" customFormat="false" ht="15.75" hidden="false" customHeight="false" outlineLevel="0" collapsed="false">
      <c r="A81" s="317" t="str">
        <f aca="false">HYPERLINK("https://phillipreeve.net/blog/affordable-manual-lenses-for-the-sony-alpha-77r7ii7rii-and-7s/","Guide to affordable lenses which cost less than $499")</f>
        <v>Guide to affordable lenses which cost less than $499</v>
      </c>
    </row>
    <row r="82" customFormat="false" ht="15.75" hidden="false" customHeight="false" outlineLevel="0" collapsed="false">
      <c r="A82" s="317" t="str">
        <f aca="false">HYPERLINK("https://phillipreeve.net/blog/affordable-manual-lenses-for-the-sony-alpha-77r7ii7rii-and-7s/","Guide to lenses that cost less than $99")</f>
        <v>Guide to lenses that cost less than $99</v>
      </c>
    </row>
    <row r="83" customFormat="false" ht="15.75" hidden="false" customHeight="false" outlineLevel="0" collapsed="false">
      <c r="A83" s="69"/>
    </row>
    <row r="84" customFormat="false" ht="15.75" hidden="false" customHeight="false" outlineLevel="0" collapsed="false">
      <c r="A84" s="294" t="s">
        <v>191</v>
      </c>
    </row>
    <row r="85" customFormat="false" ht="15.75" hidden="false" customHeight="false" outlineLevel="0" collapsed="false">
      <c r="A85" s="69" t="s">
        <v>259</v>
      </c>
      <c r="D85" s="294"/>
    </row>
    <row r="86" customFormat="false" ht="15.75" hidden="false" customHeight="false" outlineLevel="0" collapsed="false">
      <c r="A86" s="69" t="s">
        <v>192</v>
      </c>
      <c r="D86" s="294"/>
    </row>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c r="A94" s="294"/>
    </row>
    <row r="95" customFormat="false" ht="15.75" hidden="false" customHeight="false" outlineLevel="0" collapsed="false">
      <c r="A95" s="294"/>
    </row>
    <row r="96" customFormat="false" ht="15.75" hidden="false" customHeight="false" outlineLevel="0" collapsed="false">
      <c r="A96" s="294"/>
    </row>
    <row r="97" customFormat="false" ht="15.75" hidden="false" customHeight="false" outlineLevel="0" collapsed="false">
      <c r="A97" s="294"/>
    </row>
    <row r="98" customFormat="false" ht="15.75" hidden="false" customHeight="false" outlineLevel="0" collapsed="false">
      <c r="A98" s="294"/>
    </row>
    <row r="99" customFormat="false" ht="15.75" hidden="false" customHeight="false" outlineLevel="0" collapsed="false">
      <c r="A99" s="294"/>
    </row>
    <row r="100" customFormat="false" ht="15.75" hidden="false" customHeight="false" outlineLevel="0" collapsed="false">
      <c r="A100" s="294"/>
    </row>
    <row r="101" customFormat="false" ht="15.75" hidden="false" customHeight="false" outlineLevel="0" collapsed="false">
      <c r="A101" s="294"/>
    </row>
    <row r="102" customFormat="false" ht="15.75" hidden="false" customHeight="false" outlineLevel="0" collapsed="false">
      <c r="A102" s="294"/>
    </row>
    <row r="103" customFormat="false" ht="15.75" hidden="false" customHeight="false" outlineLevel="0" collapsed="false">
      <c r="A103" s="294"/>
    </row>
    <row r="104" customFormat="false" ht="15.75" hidden="false" customHeight="false" outlineLevel="0" collapsed="false">
      <c r="A104" s="294"/>
    </row>
    <row r="105" customFormat="false" ht="15.75" hidden="false" customHeight="false" outlineLevel="0" collapsed="false">
      <c r="A105" s="294"/>
    </row>
    <row r="106" customFormat="false" ht="15.75" hidden="false" customHeight="false" outlineLevel="0" collapsed="false">
      <c r="A106" s="294"/>
    </row>
    <row r="107" customFormat="false" ht="15.75" hidden="false" customHeight="false" outlineLevel="0" collapsed="false">
      <c r="A107" s="294"/>
    </row>
    <row r="108" customFormat="false" ht="15.75" hidden="false" customHeight="false" outlineLevel="0" collapsed="false">
      <c r="A108" s="294"/>
    </row>
    <row r="109" customFormat="false" ht="15.75" hidden="false" customHeight="false" outlineLevel="0" collapsed="false">
      <c r="A109" s="294"/>
    </row>
    <row r="110" customFormat="false" ht="15.75" hidden="false" customHeight="false" outlineLevel="0" collapsed="false">
      <c r="A110" s="294"/>
    </row>
    <row r="111" customFormat="false" ht="15.75" hidden="false" customHeight="false" outlineLevel="0" collapsed="false">
      <c r="A111" s="294"/>
    </row>
    <row r="112" customFormat="false" ht="15.75" hidden="false" customHeight="false" outlineLevel="0" collapsed="false">
      <c r="A112" s="294"/>
    </row>
    <row r="113" customFormat="false" ht="15.75" hidden="false" customHeight="false" outlineLevel="0" collapsed="false">
      <c r="A113" s="294"/>
    </row>
    <row r="114" customFormat="false" ht="15.75" hidden="false" customHeight="false" outlineLevel="0" collapsed="false">
      <c r="A114" s="294"/>
    </row>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row r="1020" customFormat="false" ht="15.75" hidden="false" customHeight="false" outlineLevel="0" collapsed="false"/>
    <row r="1021" customFormat="false" ht="15.75" hidden="false" customHeight="false" outlineLevel="0" collapsed="false"/>
    <row r="1022" customFormat="false" ht="15.75" hidden="false" customHeight="false" outlineLevel="0" collapsed="false"/>
    <row r="1023" customFormat="false" ht="15.75" hidden="false" customHeight="false" outlineLevel="0" collapsed="false"/>
    <row r="1024" customFormat="false" ht="15.75" hidden="false" customHeight="false" outlineLevel="0" collapsed="false"/>
  </sheetData>
  <conditionalFormatting sqref="B1 B3:B1024">
    <cfRule type="cellIs" priority="2" operator="between" aboveAverage="0" equalAverage="0" bottom="0" percent="0" rank="0" text="" dxfId="2">
      <formula>50</formula>
      <formula>200</formula>
    </cfRule>
  </conditionalFormatting>
  <conditionalFormatting sqref="B1 B3:B1024">
    <cfRule type="cellIs" priority="3" operator="between" aboveAverage="0" equalAverage="0" bottom="0" percent="0" rank="0" text="" dxfId="3">
      <formula>201</formula>
      <formula>400</formula>
    </cfRule>
  </conditionalFormatting>
  <conditionalFormatting sqref="B3:B1019">
    <cfRule type="cellIs" priority="4" operator="between" aboveAverage="0" equalAverage="0" bottom="0" percent="0" rank="0" text="" dxfId="4">
      <formula>401</formula>
      <formula>650</formula>
    </cfRule>
  </conditionalFormatting>
  <conditionalFormatting sqref="B3:B1019">
    <cfRule type="cellIs" priority="5" operator="between" aboveAverage="0" equalAverage="0" bottom="0" percent="0" rank="0" text="" dxfId="5">
      <formula>651</formula>
      <formula>900</formula>
    </cfRule>
  </conditionalFormatting>
  <conditionalFormatting sqref="B3:B1019">
    <cfRule type="cellIs" priority="6" operator="greaterThan" aboveAverage="0" equalAverage="0" bottom="0" percent="0" rank="0" text="" dxfId="6">
      <formula>900</formula>
    </cfRule>
  </conditionalFormatting>
  <conditionalFormatting sqref="P3:P1019">
    <cfRule type="containsText" priority="7" operator="containsText" aboveAverage="0" equalAverage="0" bottom="0" percent="0" rank="0" text="yes" dxfId="7">
      <formula>NOT(ISERROR(SEARCH("yes",P3)))</formula>
    </cfRule>
  </conditionalFormatting>
  <conditionalFormatting sqref="F1:F32 F34:F1024">
    <cfRule type="colorScale" priority="8">
      <colorScale>
        <cfvo type="min" val="0"/>
        <cfvo type="formula" val="150"/>
        <color rgb="FFEAD1DC"/>
        <color rgb="FFA64D79"/>
      </colorScale>
    </cfRule>
  </conditionalFormatting>
  <conditionalFormatting sqref="D3:D47">
    <cfRule type="colorScale" priority="9">
      <colorScale>
        <cfvo type="formula" val="1.2"/>
        <cfvo type="formula" val="4"/>
        <color rgb="FF0B5394"/>
        <color rgb="FFFFFFFF"/>
      </colorScale>
    </cfRule>
  </conditionalFormatting>
  <conditionalFormatting sqref="E3:E32 E34:E47">
    <cfRule type="colorScale" priority="10">
      <colorScale>
        <cfvo type="formula" val="65"/>
        <cfvo type="formula" val="100"/>
        <color rgb="FFD9D2E9"/>
        <color rgb="FF674EA7"/>
      </colorScale>
    </cfRule>
  </conditionalFormatting>
  <conditionalFormatting sqref="D3:D47">
    <cfRule type="containsText" priority="11" operator="containsText" aboveAverage="0" equalAverage="0" bottom="0" percent="0" rank="0" text="1.2" dxfId="8">
      <formula>NOT(ISERROR(SEARCH("1.2",D3)))</formula>
    </cfRule>
  </conditionalFormatting>
  <conditionalFormatting sqref="D3:D47">
    <cfRule type="containsText" priority="12" operator="containsText" aboveAverage="0" equalAverage="0" bottom="0" percent="0" rank="0" text="1.4" dxfId="10">
      <formula>NOT(ISERROR(SEARCH("1.4",D3)))</formula>
    </cfRule>
  </conditionalFormatting>
  <conditionalFormatting sqref="D3:D66">
    <cfRule type="containsText" priority="13" operator="containsText" aboveAverage="0" equalAverage="0" bottom="0" percent="0" rank="0" text="1.8" dxfId="11">
      <formula>NOT(ISERROR(SEARCH("1.8",D3)))</formula>
    </cfRule>
  </conditionalFormatting>
  <conditionalFormatting sqref="C3:C47">
    <cfRule type="colorScale" priority="14">
      <colorScale>
        <cfvo type="formula" val="10"/>
        <cfvo type="formula" val="50"/>
        <cfvo type="formula" val="400"/>
        <color rgb="FFCFE2F3"/>
        <color rgb="FF709CE0"/>
        <color rgb="FF1155CC"/>
      </colorScale>
    </cfRule>
  </conditionalFormatting>
  <dataValidations count="1">
    <dataValidation allowBlank="true" errorStyle="stop" operator="between" showDropDown="false" showErrorMessage="false" showInputMessage="false" sqref="S3:S47" type="list">
      <formula1>"Sony,Voigtlander,Zeiss,Sigma,Samyang,Viltrox,Tokina,Tamron"</formula1>
      <formula2>0</formula2>
    </dataValidation>
  </dataValidations>
  <hyperlinks>
    <hyperlink ref="K1" r:id="rId1" display="Amazon.com"/>
    <hyperlink ref="M1" r:id="rId2" display="Amazon.de"/>
    <hyperlink ref="N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V1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0" width="25.51"/>
    <col collapsed="false" customWidth="true" hidden="false" outlineLevel="0" max="2" min="2" style="0" width="5.75"/>
    <col collapsed="false" customWidth="true" hidden="false" outlineLevel="0" max="3" min="3" style="0" width="7.12"/>
    <col collapsed="false" customWidth="true" hidden="false" outlineLevel="0" max="4" min="4" style="0" width="7"/>
    <col collapsed="false" customWidth="true" hidden="false" outlineLevel="0" max="6" min="5" style="0" width="6.38"/>
    <col collapsed="false" customWidth="true" hidden="false" outlineLevel="0" max="7" min="7" style="0" width="3.5"/>
    <col collapsed="false" customWidth="true" hidden="false" outlineLevel="0" max="8" min="8" style="0" width="6.25"/>
    <col collapsed="false" customWidth="true" hidden="false" outlineLevel="0" max="9" min="9" style="0" width="3.88"/>
    <col collapsed="false" customWidth="true" hidden="false" outlineLevel="0" max="10" min="10" style="0" width="6.75"/>
    <col collapsed="false" customWidth="true" hidden="false" outlineLevel="0" max="14" min="11" style="0" width="3.5"/>
    <col collapsed="false" customWidth="true" hidden="false" outlineLevel="0" max="15" min="15" style="0" width="6.63"/>
    <col collapsed="false" customWidth="true" hidden="false" outlineLevel="0" max="16" min="16" style="0" width="6"/>
    <col collapsed="false" customWidth="true" hidden="false" outlineLevel="0" max="17" min="17" style="0" width="4.88"/>
    <col collapsed="false" customWidth="true" hidden="false" outlineLevel="0" max="18" min="18" style="0" width="5.38"/>
    <col collapsed="false" customWidth="true" hidden="false" outlineLevel="0" max="19" min="19" style="0" width="11.63"/>
    <col collapsed="false" customWidth="true" hidden="false" outlineLevel="0" max="20" min="20" style="0" width="6.51"/>
  </cols>
  <sheetData>
    <row r="1" customFormat="false" ht="76.5" hidden="false" customHeight="true" outlineLevel="0" collapsed="false">
      <c r="A1" s="1" t="s">
        <v>0</v>
      </c>
      <c r="B1" s="2" t="s">
        <v>1</v>
      </c>
      <c r="C1" s="3" t="s">
        <v>2</v>
      </c>
      <c r="D1" s="4" t="s">
        <v>3</v>
      </c>
      <c r="E1" s="5" t="s">
        <v>4</v>
      </c>
      <c r="F1" s="6" t="s">
        <v>5</v>
      </c>
      <c r="G1" s="7" t="s">
        <v>6</v>
      </c>
      <c r="H1" s="8" t="s">
        <v>7</v>
      </c>
      <c r="I1" s="3" t="s">
        <v>8</v>
      </c>
      <c r="J1" s="14" t="s">
        <v>15</v>
      </c>
      <c r="K1" s="16" t="s">
        <v>17</v>
      </c>
      <c r="L1" s="17" t="s">
        <v>18</v>
      </c>
      <c r="M1" s="16" t="s">
        <v>19</v>
      </c>
      <c r="N1" s="18" t="s">
        <v>20</v>
      </c>
      <c r="O1" s="3" t="s">
        <v>9</v>
      </c>
      <c r="P1" s="10" t="s">
        <v>10</v>
      </c>
      <c r="Q1" s="3" t="s">
        <v>11</v>
      </c>
      <c r="R1" s="3" t="s">
        <v>12</v>
      </c>
      <c r="S1" s="3" t="s">
        <v>13</v>
      </c>
      <c r="T1" s="3" t="s">
        <v>14</v>
      </c>
      <c r="U1" s="19" t="s">
        <v>21</v>
      </c>
    </row>
    <row r="2" customFormat="false" ht="18" hidden="true" customHeight="true" outlineLevel="0" collapsed="false">
      <c r="A2" s="20" t="s">
        <v>194</v>
      </c>
      <c r="B2" s="21"/>
      <c r="C2" s="21"/>
      <c r="D2" s="21"/>
      <c r="E2" s="21"/>
      <c r="F2" s="21"/>
      <c r="G2" s="21"/>
      <c r="H2" s="22"/>
      <c r="I2" s="21"/>
      <c r="J2" s="21"/>
      <c r="K2" s="21"/>
      <c r="L2" s="21"/>
      <c r="M2" s="21"/>
      <c r="N2" s="21"/>
      <c r="O2" s="21"/>
      <c r="P2" s="21"/>
      <c r="Q2" s="21"/>
      <c r="R2" s="21"/>
      <c r="S2" s="23"/>
      <c r="T2" s="21"/>
    </row>
    <row r="3" customFormat="false" ht="15.75" hidden="false" customHeight="false" outlineLevel="0" collapsed="false">
      <c r="A3" s="24" t="str">
        <f aca="false">HYPERLINK("https://phillipreeve.net/blog/review-voigtlander-10mm-5-6-e-hyper-wide-heliar/","Voigtlander 10mm F5.6 Hyper Wide ")</f>
        <v>Voigtlander 10mm F5.6 Hyper Wide </v>
      </c>
      <c r="B3" s="25" t="n">
        <v>375</v>
      </c>
      <c r="C3" s="26" t="n">
        <v>10</v>
      </c>
      <c r="D3" s="27" t="n">
        <v>5.6</v>
      </c>
      <c r="E3" s="28" t="n">
        <v>67</v>
      </c>
      <c r="F3" s="29" t="s">
        <v>23</v>
      </c>
      <c r="G3" s="30" t="s">
        <v>24</v>
      </c>
      <c r="H3" s="31" t="s">
        <v>25</v>
      </c>
      <c r="I3" s="32" t="n">
        <v>0.067</v>
      </c>
      <c r="J3" s="33" t="n">
        <v>30</v>
      </c>
      <c r="K3" s="30" t="s">
        <v>26</v>
      </c>
      <c r="L3" s="32" t="n">
        <v>10</v>
      </c>
      <c r="M3" s="34" t="s">
        <v>27</v>
      </c>
      <c r="N3" s="32" t="s">
        <v>28</v>
      </c>
      <c r="O3" s="35" t="n">
        <v>42552</v>
      </c>
      <c r="P3" s="36" t="n">
        <v>1099</v>
      </c>
      <c r="Q3" s="36" t="n">
        <v>750</v>
      </c>
      <c r="R3" s="37" t="str">
        <f aca="false">HYPERLINK("https://amzn.to/2jJ8WxH","link*")</f>
        <v>link*</v>
      </c>
      <c r="S3" s="37" t="str">
        <f aca="false">HYPERLINK("https://www.bhphotovideo.com/c/product/1219550-REG/voigtlander_ba334b_heliar_hyper_wide_10mm_f_5_6.html/BI/19619/KBID/12129/DFF/d10-v21-t1-x732282/SID/EZ","link*")</f>
        <v>link*</v>
      </c>
      <c r="T3" s="37" t="str">
        <f aca="false">HYPERLINK("https://amzn.to/2jG72hr","link*")</f>
        <v>link*</v>
      </c>
      <c r="U3" s="37"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V3" s="38"/>
    </row>
    <row r="4" customFormat="false" ht="15.75" hidden="true" customHeight="false" outlineLevel="0" collapsed="false">
      <c r="A4" s="80" t="s">
        <v>29</v>
      </c>
      <c r="B4" s="81" t="n">
        <v>565</v>
      </c>
      <c r="C4" s="82" t="n">
        <v>12</v>
      </c>
      <c r="D4" s="83" t="n">
        <v>4</v>
      </c>
      <c r="E4" s="84" t="n">
        <v>87</v>
      </c>
      <c r="F4" s="121" t="n">
        <v>117</v>
      </c>
      <c r="G4" s="89" t="s">
        <v>30</v>
      </c>
      <c r="H4" s="87" t="s">
        <v>25</v>
      </c>
      <c r="I4" s="86" t="n">
        <v>0.14</v>
      </c>
      <c r="J4" s="92" t="n">
        <v>1699</v>
      </c>
      <c r="K4" s="93" t="str">
        <f aca="false">HYPERLINK("https://amzn.to/2SSzKc4","link*")</f>
        <v>link*</v>
      </c>
      <c r="L4" s="93" t="str">
        <f aca="false">HYPERLINK("https://www.bhphotovideo.com/c/product/1338517-REG/sony_sel1224g_fe_12_24mm_f_4_g.html/BI/19619/KBID/12129/DFF/d10-v21-t1-x822838/SID/EZ","link*")</f>
        <v>link*</v>
      </c>
      <c r="M4" s="93" t="str">
        <f aca="false">HYPERLINK("https://amzn.to/2Kg94zb","link*")</f>
        <v>link*</v>
      </c>
      <c r="N4" s="93"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c r="O4" s="88" t="n">
        <v>24</v>
      </c>
      <c r="P4" s="89" t="s">
        <v>26</v>
      </c>
      <c r="Q4" s="86" t="n">
        <v>7</v>
      </c>
      <c r="R4" s="126" t="s">
        <v>31</v>
      </c>
      <c r="S4" s="86" t="s">
        <v>32</v>
      </c>
      <c r="T4" s="91" t="n">
        <v>42856</v>
      </c>
    </row>
    <row r="5" customFormat="false" ht="15.75" hidden="true" customHeight="false" outlineLevel="0" collapsed="false">
      <c r="A5" s="39" t="s">
        <v>29</v>
      </c>
      <c r="B5" s="40" t="n">
        <v>565</v>
      </c>
      <c r="C5" s="41" t="n">
        <v>12</v>
      </c>
      <c r="D5" s="42" t="n">
        <v>4</v>
      </c>
      <c r="E5" s="43" t="n">
        <v>87</v>
      </c>
      <c r="F5" s="44" t="n">
        <v>117</v>
      </c>
      <c r="G5" s="45" t="s">
        <v>30</v>
      </c>
      <c r="H5" s="46" t="s">
        <v>25</v>
      </c>
      <c r="I5" s="47" t="n">
        <v>0.14</v>
      </c>
      <c r="J5" s="48" t="n">
        <v>24</v>
      </c>
      <c r="K5" s="45" t="s">
        <v>26</v>
      </c>
      <c r="L5" s="47" t="n">
        <v>7</v>
      </c>
      <c r="M5" s="49" t="s">
        <v>31</v>
      </c>
      <c r="N5" s="47" t="s">
        <v>32</v>
      </c>
      <c r="O5" s="50" t="n">
        <v>42856</v>
      </c>
      <c r="P5" s="51" t="n">
        <v>1699</v>
      </c>
      <c r="Q5" s="51" t="n">
        <v>1250</v>
      </c>
      <c r="R5" s="52" t="str">
        <f aca="false">HYPERLINK("https://amzn.to/2SSzKc4","link*")</f>
        <v>link*</v>
      </c>
      <c r="S5" s="52" t="str">
        <f aca="false">HYPERLINK("https://www.bhphotovideo.com/c/product/1338517-REG/sony_sel1224g_fe_12_24mm_f_4_g.html/BI/19619/KBID/12129/DFF/d10-v21-t1-x822838/SID/EZ","link*")</f>
        <v>link*</v>
      </c>
      <c r="T5" s="52" t="str">
        <f aca="false">HYPERLINK("https://amzn.to/2Kg94zb","link*")</f>
        <v>link*</v>
      </c>
      <c r="U5" s="52"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6" customFormat="false" ht="15.75" hidden="true" customHeight="false" outlineLevel="0" collapsed="false">
      <c r="A6" s="80" t="s">
        <v>42</v>
      </c>
      <c r="B6" s="81" t="n">
        <v>1170</v>
      </c>
      <c r="C6" s="82" t="n">
        <v>14</v>
      </c>
      <c r="D6" s="120" t="n">
        <v>1.8</v>
      </c>
      <c r="E6" s="359" t="n">
        <v>95</v>
      </c>
      <c r="F6" s="85" t="n">
        <v>126</v>
      </c>
      <c r="G6" s="86" t="s">
        <v>30</v>
      </c>
      <c r="H6" s="87" t="s">
        <v>25</v>
      </c>
      <c r="I6" s="86" t="n">
        <v>0.1</v>
      </c>
      <c r="J6" s="92" t="n">
        <v>1599</v>
      </c>
      <c r="K6" s="93" t="str">
        <f aca="false">HYPERLINK("https://amzn.to/2SOWTvV","link*")</f>
        <v>link*</v>
      </c>
      <c r="L6" s="93" t="str">
        <f aca="false">HYPERLINK("https://www.bhphotovideo.com/c/product/1393489-REG/sigma_14mm_f_1_8_dg_hsm.html/BI/19619/KBID/12129/DFF/d10-v21-t1-x881154/SID/EZ","link*")</f>
        <v>link*</v>
      </c>
      <c r="M6" s="93" t="str">
        <f aca="false">HYPERLINK("https://amzn.to/2ZDl4QJ","link*")</f>
        <v>link*</v>
      </c>
      <c r="N6" s="93"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O6" s="88" t="n">
        <v>27</v>
      </c>
      <c r="P6" s="89" t="s">
        <v>26</v>
      </c>
      <c r="Q6" s="86" t="n">
        <v>9</v>
      </c>
      <c r="R6" s="122" t="n">
        <v>43785</v>
      </c>
      <c r="S6" s="86" t="s">
        <v>43</v>
      </c>
      <c r="T6" s="91" t="n">
        <v>43221</v>
      </c>
      <c r="U6" s="69" t="s">
        <v>260</v>
      </c>
    </row>
    <row r="7" customFormat="false" ht="15.75" hidden="true" customHeight="false" outlineLevel="0" collapsed="false">
      <c r="A7" s="80" t="s">
        <v>44</v>
      </c>
      <c r="B7" s="81" t="n">
        <v>795</v>
      </c>
      <c r="C7" s="82" t="n">
        <v>14</v>
      </c>
      <c r="D7" s="83" t="n">
        <v>2.8</v>
      </c>
      <c r="E7" s="84" t="n">
        <v>85</v>
      </c>
      <c r="F7" s="85" t="n">
        <v>131</v>
      </c>
      <c r="G7" s="86" t="s">
        <v>30</v>
      </c>
      <c r="H7" s="87" t="s">
        <v>25</v>
      </c>
      <c r="I7" s="86" t="n">
        <v>0.14</v>
      </c>
      <c r="J7" s="92" t="n">
        <v>1399</v>
      </c>
      <c r="K7" s="93" t="str">
        <f aca="false">HYPERLINK("https://amzn.to/2zt8rMC","link*")</f>
        <v>link*</v>
      </c>
      <c r="L7" s="93" t="str">
        <f aca="false">HYPERLINK("https://www.bhphotovideo.com/c/product/1492972-REG/sigma_213965_14_24mm_f_2_8_dg_dn.html/BI/19619/KBID/12129/DFF/d10-v21-t1-x976041/SID/EZ","link*")</f>
        <v>link*</v>
      </c>
      <c r="M7" s="94" t="s">
        <v>33</v>
      </c>
      <c r="N7" s="93"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O7" s="88" t="n">
        <v>28</v>
      </c>
      <c r="P7" s="89" t="s">
        <v>26</v>
      </c>
      <c r="Q7" s="86" t="n">
        <v>11</v>
      </c>
      <c r="R7" s="90" t="s">
        <v>45</v>
      </c>
      <c r="S7" s="86" t="s">
        <v>43</v>
      </c>
      <c r="T7" s="91" t="n">
        <v>43739</v>
      </c>
      <c r="U7" s="69" t="s">
        <v>37</v>
      </c>
    </row>
    <row r="8" customFormat="false" ht="15.75" hidden="true" customHeight="false" outlineLevel="0" collapsed="false">
      <c r="A8" s="80" t="s">
        <v>46</v>
      </c>
      <c r="B8" s="81" t="n">
        <v>505</v>
      </c>
      <c r="C8" s="82" t="n">
        <v>14</v>
      </c>
      <c r="D8" s="83" t="n">
        <v>2.8</v>
      </c>
      <c r="E8" s="84" t="n">
        <v>86</v>
      </c>
      <c r="F8" s="121" t="n">
        <v>98</v>
      </c>
      <c r="G8" s="86" t="s">
        <v>30</v>
      </c>
      <c r="H8" s="87" t="s">
        <v>25</v>
      </c>
      <c r="I8" s="86" t="n">
        <v>0.12</v>
      </c>
      <c r="J8" s="92" t="n">
        <v>799</v>
      </c>
      <c r="K8" s="93" t="str">
        <f aca="false">HYPERLINK("https://amzn.to/2SX2HUi","link*")</f>
        <v>link*</v>
      </c>
      <c r="L8" s="93" t="str">
        <f aca="false">HYPERLINK("https://www.bhphotovideo.com/c/product/1352863-REG/samyang_syio14af_e_14mm_f_2_8_f_f_wide.html/BI/19619/KBID/12129/DFF/d10-v21-t1-x837928/SID/EZ","link*")</f>
        <v>link*</v>
      </c>
      <c r="M8" s="93" t="str">
        <f aca="false">HYPERLINK("https://amzn.to/31hwSIL","link*")</f>
        <v>link*</v>
      </c>
      <c r="N8" s="93"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O8" s="88" t="n">
        <v>20</v>
      </c>
      <c r="P8" s="89" t="s">
        <v>26</v>
      </c>
      <c r="Q8" s="86" t="n">
        <v>7</v>
      </c>
      <c r="R8" s="122" t="n">
        <v>43752</v>
      </c>
      <c r="S8" s="86" t="s">
        <v>47</v>
      </c>
      <c r="T8" s="91" t="n">
        <v>43221</v>
      </c>
    </row>
    <row r="9" customFormat="false" ht="15.75" hidden="true" customHeight="false" outlineLevel="0" collapsed="false">
      <c r="A9" s="39" t="s">
        <v>29</v>
      </c>
      <c r="B9" s="40" t="n">
        <v>565</v>
      </c>
      <c r="C9" s="41" t="n">
        <v>12</v>
      </c>
      <c r="D9" s="42" t="n">
        <v>4</v>
      </c>
      <c r="E9" s="43" t="n">
        <v>87</v>
      </c>
      <c r="F9" s="44" t="n">
        <v>117</v>
      </c>
      <c r="G9" s="45" t="s">
        <v>30</v>
      </c>
      <c r="H9" s="46" t="s">
        <v>25</v>
      </c>
      <c r="I9" s="47" t="n">
        <v>0.14</v>
      </c>
      <c r="J9" s="48" t="n">
        <v>24</v>
      </c>
      <c r="K9" s="45" t="s">
        <v>26</v>
      </c>
      <c r="L9" s="47" t="n">
        <v>7</v>
      </c>
      <c r="M9" s="49" t="s">
        <v>31</v>
      </c>
      <c r="N9" s="47" t="s">
        <v>32</v>
      </c>
      <c r="O9" s="50" t="n">
        <v>42856</v>
      </c>
      <c r="P9" s="51" t="n">
        <v>1699</v>
      </c>
      <c r="Q9" s="51" t="n">
        <v>1125</v>
      </c>
      <c r="R9" s="52" t="str">
        <f aca="false">HYPERLINK("https://amzn.to/2SSzKc4","link*")</f>
        <v>link*</v>
      </c>
      <c r="S9" s="52" t="str">
        <f aca="false">HYPERLINK("https://www.bhphotovideo.com/c/product/1338517-REG/sony_sel1224g_fe_12_24mm_f_4_g.html/BI/19619/KBID/12129/DFF/d10-v21-t1-x822838/SID/EZ","link*")</f>
        <v>link*</v>
      </c>
      <c r="T9" s="52" t="str">
        <f aca="false">HYPERLINK("https://amzn.to/2Kg94zb","link*")</f>
        <v>link*</v>
      </c>
      <c r="U9" s="53" t="s">
        <v>33</v>
      </c>
    </row>
    <row r="10" customFormat="false" ht="15.75" hidden="true" customHeight="false" outlineLevel="0" collapsed="false">
      <c r="A10" s="128" t="str">
        <f aca="false">HYPERLINK("https://phillipreeve.net/blog/sony-fe-16-35mm-f4-za-t-review/","Sony ZA 4/16-35 OSS ")</f>
        <v>Sony ZA 4/16-35 OSS </v>
      </c>
      <c r="B10" s="81" t="n">
        <v>523</v>
      </c>
      <c r="C10" s="82" t="n">
        <v>16</v>
      </c>
      <c r="D10" s="83" t="n">
        <v>4</v>
      </c>
      <c r="E10" s="84" t="n">
        <v>78</v>
      </c>
      <c r="F10" s="121" t="n">
        <v>98</v>
      </c>
      <c r="G10" s="89" t="s">
        <v>30</v>
      </c>
      <c r="H10" s="87" t="s">
        <v>49</v>
      </c>
      <c r="I10" s="86" t="n">
        <v>0.19</v>
      </c>
      <c r="J10" s="92" t="n">
        <v>1349</v>
      </c>
      <c r="K10" s="93" t="str">
        <f aca="false">HYPERLINK("http://amzn.to/2v2sY7q","link*")</f>
        <v>link*</v>
      </c>
      <c r="L10" s="93" t="str">
        <f aca="false">HYPERLINK("https://www.bhphotovideo.com/c/product/1380866-REG/sony_16_35mm_f_4_vario_tsr.html/BI/19619/KBID/12129/kw/SO16354F/DFF/d10-v2-t1-xSO16354F","link*")</f>
        <v>link*</v>
      </c>
      <c r="M10" s="93" t="str">
        <f aca="false">HYPERLINK("http://amzn.to/2wyMLuP","link*")</f>
        <v>link*</v>
      </c>
      <c r="N10" s="93"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c r="O10" s="88" t="n">
        <v>28</v>
      </c>
      <c r="P10" s="174" t="s">
        <v>50</v>
      </c>
      <c r="Q10" s="86" t="n">
        <v>7</v>
      </c>
      <c r="R10" s="126" t="s">
        <v>38</v>
      </c>
      <c r="S10" s="86" t="s">
        <v>32</v>
      </c>
      <c r="T10" s="91" t="n">
        <v>41883</v>
      </c>
    </row>
    <row r="11" customFormat="false" ht="15.75" hidden="true" customHeight="false" outlineLevel="0" collapsed="false">
      <c r="A11" s="80" t="s">
        <v>51</v>
      </c>
      <c r="B11" s="81" t="n">
        <v>680</v>
      </c>
      <c r="C11" s="82" t="n">
        <v>16</v>
      </c>
      <c r="D11" s="83" t="n">
        <v>2.8</v>
      </c>
      <c r="E11" s="84" t="n">
        <v>89</v>
      </c>
      <c r="F11" s="121" t="n">
        <v>122</v>
      </c>
      <c r="G11" s="89" t="s">
        <v>30</v>
      </c>
      <c r="H11" s="87" t="s">
        <v>52</v>
      </c>
      <c r="I11" s="86" t="n">
        <v>0.19</v>
      </c>
      <c r="J11" s="92" t="n">
        <v>2199</v>
      </c>
      <c r="K11" s="93" t="str">
        <f aca="false">HYPERLINK("https://amzn.to/2SR0IRl","link*")</f>
        <v>link*</v>
      </c>
      <c r="L11" s="93" t="str">
        <f aca="false">HYPERLINK("https://www.bhphotovideo.com/c/product/1338516-REG/sony_sel1635gm_fe_16_35mm_f_2_8_gm.html/BI/19619/KBID/12129/DFF/d10-v21-t1-x822837/SID/EZ","link*")</f>
        <v>link*</v>
      </c>
      <c r="M11" s="93" t="str">
        <f aca="false">HYPERLINK("https://amzn.to/2T1ZxOU","link*")</f>
        <v>link*</v>
      </c>
      <c r="N11" s="93"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O11" s="88" t="n">
        <v>28</v>
      </c>
      <c r="P11" s="89" t="s">
        <v>26</v>
      </c>
      <c r="Q11" s="86" t="n">
        <v>11</v>
      </c>
      <c r="R11" s="126" t="s">
        <v>53</v>
      </c>
      <c r="S11" s="86" t="s">
        <v>32</v>
      </c>
      <c r="T11" s="91" t="n">
        <v>42856</v>
      </c>
    </row>
    <row r="12" customFormat="false" ht="15.75" hidden="true" customHeight="false" outlineLevel="0" collapsed="false">
      <c r="A12" s="128" t="str">
        <f aca="false">HYPERLINK("https://phillipreeve.net/blog/review-tamron-17-28mm-f-2-8-di-iii-rxd/","Tamron 17-28mm f/2.8 Di III RXD")</f>
        <v>Tamron 17-28mm f/2.8 Di III RXD</v>
      </c>
      <c r="B12" s="81" t="n">
        <v>420</v>
      </c>
      <c r="C12" s="82" t="n">
        <v>17</v>
      </c>
      <c r="D12" s="83" t="n">
        <v>2.8</v>
      </c>
      <c r="E12" s="385" t="n">
        <v>73</v>
      </c>
      <c r="F12" s="121" t="n">
        <v>99</v>
      </c>
      <c r="G12" s="89" t="s">
        <v>30</v>
      </c>
      <c r="H12" s="87" t="s">
        <v>54</v>
      </c>
      <c r="I12" s="86" t="n">
        <v>0.19</v>
      </c>
      <c r="J12" s="145" t="n">
        <v>899</v>
      </c>
      <c r="K12" s="93" t="str">
        <f aca="false">HYPERLINK("https://amzn.to/2Hv3AyB","link*")</f>
        <v>link*</v>
      </c>
      <c r="L12" s="93" t="str">
        <f aca="false">HYPERLINK("https://www.bhphotovideo.com/c/product/1461529-REG/tamron_a046_17_28mm_f_2_8_di_iii.html/BI/19619/KBID/12129/DFF/d10-v21-t1-x946694/SID/EZ","link*")</f>
        <v>link*</v>
      </c>
      <c r="M12" s="93" t="str">
        <f aca="false">HYPERLINK("https://amzn.to/2YkrkQB","link*")</f>
        <v>link*</v>
      </c>
      <c r="N12" s="93"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O12" s="88" t="n">
        <v>19</v>
      </c>
      <c r="P12" s="89" t="s">
        <v>26</v>
      </c>
      <c r="Q12" s="86" t="n">
        <v>9</v>
      </c>
      <c r="R12" s="126" t="s">
        <v>55</v>
      </c>
      <c r="S12" s="86" t="s">
        <v>56</v>
      </c>
      <c r="T12" s="91" t="n">
        <v>43647</v>
      </c>
    </row>
    <row r="13" customFormat="false" ht="15.75" hidden="true" customHeight="false" outlineLevel="0" collapsed="false">
      <c r="A13" s="128" t="str">
        <f aca="false">HYPERLINK("https://phillipreeve.net/blog/review-zeiss-batis-18mm-2-8/","Zeiss Batis 2.8/18")</f>
        <v>Zeiss Batis 2.8/18</v>
      </c>
      <c r="B13" s="81" t="n">
        <v>330</v>
      </c>
      <c r="C13" s="82" t="n">
        <v>18</v>
      </c>
      <c r="D13" s="83" t="n">
        <v>2.8</v>
      </c>
      <c r="E13" s="84" t="n">
        <v>100</v>
      </c>
      <c r="F13" s="121" t="n">
        <v>80</v>
      </c>
      <c r="G13" s="89" t="s">
        <v>30</v>
      </c>
      <c r="H13" s="87" t="s">
        <v>57</v>
      </c>
      <c r="I13" s="86" t="n">
        <v>0.1</v>
      </c>
      <c r="J13" s="92" t="n">
        <v>1499</v>
      </c>
      <c r="K13" s="93" t="str">
        <f aca="false">HYPERLINK("https://amzn.to/2SRFBhL","link*")</f>
        <v>link*</v>
      </c>
      <c r="L13" s="93" t="str">
        <f aca="false">HYPERLINK("https://www.bhphotovideo.com/c/product/1243591-REG/zeiss_2136_691_batis_18mm_f_2_8_lens.html/BI/19619/KBID/12129/DFF/d10-v21-t1-x727488/SID/EZ","link*")</f>
        <v>link*</v>
      </c>
      <c r="M13" s="93" t="str">
        <f aca="false">HYPERLINK("https://amzn.to/334PqNT","link*")</f>
        <v>link*</v>
      </c>
      <c r="N13" s="93"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c r="O13" s="88" t="n">
        <v>25</v>
      </c>
      <c r="P13" s="89" t="s">
        <v>26</v>
      </c>
      <c r="Q13" s="86" t="n">
        <v>9</v>
      </c>
      <c r="R13" s="126" t="s">
        <v>58</v>
      </c>
      <c r="S13" s="86" t="s">
        <v>59</v>
      </c>
      <c r="T13" s="91" t="n">
        <v>42491</v>
      </c>
    </row>
    <row r="14" customFormat="false" ht="15.75" hidden="true" customHeight="false" outlineLevel="0" collapsed="false">
      <c r="A14" s="80" t="s">
        <v>60</v>
      </c>
      <c r="B14" s="81" t="n">
        <v>145</v>
      </c>
      <c r="C14" s="82" t="n">
        <v>18</v>
      </c>
      <c r="D14" s="83" t="n">
        <v>2.8</v>
      </c>
      <c r="E14" s="84" t="n">
        <v>63.5</v>
      </c>
      <c r="F14" s="121" t="n">
        <v>60.5</v>
      </c>
      <c r="G14" s="89" t="s">
        <v>30</v>
      </c>
      <c r="H14" s="87" t="s">
        <v>48</v>
      </c>
      <c r="I14" s="86" t="n">
        <v>0.09</v>
      </c>
      <c r="J14" s="92" t="n">
        <v>399</v>
      </c>
      <c r="K14" s="94"/>
      <c r="L14" s="93" t="str">
        <f aca="false">HYPERLINK("https://www.bhphotovideo.com/c/product/1503295-REG/samyang_syio18af_e_af_18mm_f_2_8_fe.html/BI/19619/KBID/12129/DFF/d10-v21-t1-x985623/SID/EZ","link*")</f>
        <v>link*</v>
      </c>
      <c r="M14" s="94"/>
      <c r="N14" s="94"/>
      <c r="O14" s="88" t="n">
        <v>25</v>
      </c>
      <c r="P14" s="89" t="s">
        <v>26</v>
      </c>
      <c r="Q14" s="86" t="n">
        <v>7</v>
      </c>
      <c r="R14" s="126" t="s">
        <v>61</v>
      </c>
      <c r="S14" s="86" t="s">
        <v>47</v>
      </c>
      <c r="T14" s="91" t="n">
        <v>43723</v>
      </c>
    </row>
    <row r="15" customFormat="false" ht="15.75" hidden="true" customHeight="true" outlineLevel="0" collapsed="false">
      <c r="A15" s="80" t="s">
        <v>62</v>
      </c>
      <c r="B15" s="81" t="n">
        <v>950</v>
      </c>
      <c r="C15" s="82" t="n">
        <v>20</v>
      </c>
      <c r="D15" s="386" t="n">
        <v>1.4</v>
      </c>
      <c r="E15" s="84" t="n">
        <v>91</v>
      </c>
      <c r="F15" s="121" t="n">
        <v>130</v>
      </c>
      <c r="G15" s="86" t="s">
        <v>30</v>
      </c>
      <c r="H15" s="87" t="s">
        <v>25</v>
      </c>
      <c r="I15" s="86" t="n">
        <v>0.14</v>
      </c>
      <c r="J15" s="92" t="n">
        <v>899</v>
      </c>
      <c r="K15" s="93" t="str">
        <f aca="false">HYPERLINK("https://amzn.to/2K4J7nh","link*")</f>
        <v>link*</v>
      </c>
      <c r="L15" s="93" t="str">
        <f aca="false">HYPERLINK("https://amzn.to/31hxv55","link*")</f>
        <v>link*</v>
      </c>
      <c r="M15" s="93" t="str">
        <f aca="false">HYPERLINK("https://amzn.to/2Wy0d3F","link*")</f>
        <v>link*</v>
      </c>
      <c r="N15" s="93"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O15" s="88" t="n">
        <v>28</v>
      </c>
      <c r="P15" s="89" t="s">
        <v>26</v>
      </c>
      <c r="Q15" s="86" t="n">
        <v>9</v>
      </c>
      <c r="R15" s="122" t="n">
        <v>43784</v>
      </c>
      <c r="S15" s="86" t="s">
        <v>43</v>
      </c>
      <c r="T15" s="91" t="n">
        <v>43221</v>
      </c>
      <c r="U15" s="69" t="s">
        <v>260</v>
      </c>
    </row>
    <row r="16" customFormat="false" ht="15.75" hidden="true" customHeight="false" outlineLevel="0" collapsed="false">
      <c r="A16" s="39" t="s">
        <v>42</v>
      </c>
      <c r="B16" s="40" t="n">
        <v>1220</v>
      </c>
      <c r="C16" s="41" t="n">
        <v>14</v>
      </c>
      <c r="D16" s="76" t="n">
        <v>1.8</v>
      </c>
      <c r="E16" s="77" t="n">
        <v>95</v>
      </c>
      <c r="F16" s="78" t="n">
        <v>152</v>
      </c>
      <c r="G16" s="47" t="s">
        <v>30</v>
      </c>
      <c r="H16" s="46" t="s">
        <v>25</v>
      </c>
      <c r="I16" s="47" t="n">
        <v>0.1</v>
      </c>
      <c r="J16" s="48" t="n">
        <v>27</v>
      </c>
      <c r="K16" s="45" t="s">
        <v>26</v>
      </c>
      <c r="L16" s="47" t="n">
        <v>9</v>
      </c>
      <c r="M16" s="79" t="n">
        <v>43785</v>
      </c>
      <c r="N16" s="47" t="s">
        <v>43</v>
      </c>
      <c r="O16" s="50" t="n">
        <v>43221</v>
      </c>
      <c r="P16" s="51" t="n">
        <v>1599</v>
      </c>
      <c r="Q16" s="51" t="n">
        <v>1100</v>
      </c>
      <c r="R16" s="52" t="str">
        <f aca="false">HYPERLINK("https://amzn.to/2SOWTvV","link*")</f>
        <v>link*</v>
      </c>
      <c r="S16" s="52" t="str">
        <f aca="false">HYPERLINK("https://www.bhphotovideo.com/c/product/1393489-REG/sigma_14mm_f_1_8_dg_hsm.html/BI/19619/KBID/12129/DFF/d10-v21-t1-x881154/SID/EZ","link*")</f>
        <v>link*</v>
      </c>
      <c r="T16" s="52" t="str">
        <f aca="false">HYPERLINK("https://amzn.to/2ZDl4QJ","link*")</f>
        <v>link*</v>
      </c>
      <c r="U16" s="52"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V16" s="69" t="s">
        <v>260</v>
      </c>
    </row>
    <row r="17" customFormat="false" ht="15.75" hidden="true" customHeight="false" outlineLevel="0" collapsed="false">
      <c r="A17" s="80" t="s">
        <v>44</v>
      </c>
      <c r="B17" s="81" t="n">
        <v>795</v>
      </c>
      <c r="C17" s="82" t="n">
        <v>14</v>
      </c>
      <c r="D17" s="83" t="n">
        <v>2.8</v>
      </c>
      <c r="E17" s="84" t="n">
        <v>85</v>
      </c>
      <c r="F17" s="85" t="n">
        <v>131</v>
      </c>
      <c r="G17" s="86" t="s">
        <v>30</v>
      </c>
      <c r="H17" s="87" t="s">
        <v>25</v>
      </c>
      <c r="I17" s="86" t="n">
        <v>0.14</v>
      </c>
      <c r="J17" s="88" t="n">
        <v>28</v>
      </c>
      <c r="K17" s="89" t="s">
        <v>26</v>
      </c>
      <c r="L17" s="86" t="n">
        <v>11</v>
      </c>
      <c r="M17" s="90" t="s">
        <v>45</v>
      </c>
      <c r="N17" s="86" t="s">
        <v>43</v>
      </c>
      <c r="O17" s="91" t="n">
        <v>43693</v>
      </c>
      <c r="P17" s="92" t="n">
        <v>1399</v>
      </c>
      <c r="Q17" s="92" t="s">
        <v>36</v>
      </c>
      <c r="R17" s="93" t="str">
        <f aca="false">HYPERLINK("https://amzn.to/2zt8rMC","link*")</f>
        <v>link*</v>
      </c>
      <c r="S17" s="93" t="str">
        <f aca="false">HYPERLINK("https://www.bhphotovideo.com/c/product/1492972-REG/sigma_213965_14_24mm_f_2_8_dg_dn.html/BI/19619/KBID/12129/DFF/d10-v21-t1-x976041/SID/EZ","link*")</f>
        <v>link*</v>
      </c>
      <c r="T17" s="94" t="s">
        <v>33</v>
      </c>
      <c r="U17" s="93"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17" s="69" t="s">
        <v>37</v>
      </c>
    </row>
    <row r="18" customFormat="false" ht="15.75" hidden="true" customHeight="false" outlineLevel="0" collapsed="false">
      <c r="A18" s="80" t="s">
        <v>69</v>
      </c>
      <c r="B18" s="81" t="n">
        <v>464</v>
      </c>
      <c r="C18" s="82" t="n">
        <v>20</v>
      </c>
      <c r="D18" s="123" t="n">
        <v>2</v>
      </c>
      <c r="E18" s="133" t="n">
        <v>73</v>
      </c>
      <c r="F18" s="134" t="n">
        <v>82</v>
      </c>
      <c r="G18" s="89" t="s">
        <v>30</v>
      </c>
      <c r="H18" s="87" t="s">
        <v>67</v>
      </c>
      <c r="I18" s="86" t="n">
        <v>0.1</v>
      </c>
      <c r="J18" s="92" t="n">
        <v>949</v>
      </c>
      <c r="K18" s="93" t="str">
        <f aca="false">HYPERLINK("https://amzn.to/2GDurZb","link*")</f>
        <v>link*</v>
      </c>
      <c r="L18" s="93" t="str">
        <f aca="false">HYPERLINK("https://www.bhphotovideo.com/c/product/1393327-REG/tokina_firin_20mm_f_2_fe.html/BI/19619/KBID/12129/DFF/d10-v21-t1-x880327/SID/EZ","link*")</f>
        <v>link*</v>
      </c>
      <c r="M18" s="93" t="str">
        <f aca="false">HYPERLINK("https://amzn.to/2GJYCxw","link*")</f>
        <v>link*</v>
      </c>
      <c r="N18" s="93"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O18" s="88" t="n">
        <v>30</v>
      </c>
      <c r="P18" s="89" t="s">
        <v>26</v>
      </c>
      <c r="Q18" s="86" t="n">
        <v>9</v>
      </c>
      <c r="R18" s="126" t="s">
        <v>55</v>
      </c>
      <c r="S18" s="86" t="s">
        <v>68</v>
      </c>
      <c r="T18" s="91" t="n">
        <v>43221</v>
      </c>
    </row>
    <row r="19" customFormat="false" ht="15.75" hidden="true" customHeight="false" outlineLevel="0" collapsed="false">
      <c r="A19" s="95" t="s">
        <v>46</v>
      </c>
      <c r="B19" s="25" t="n">
        <v>505</v>
      </c>
      <c r="C19" s="26" t="n">
        <v>14</v>
      </c>
      <c r="D19" s="27" t="n">
        <v>2.8</v>
      </c>
      <c r="E19" s="96" t="n">
        <v>86</v>
      </c>
      <c r="F19" s="97" t="n">
        <v>98</v>
      </c>
      <c r="G19" s="32" t="s">
        <v>30</v>
      </c>
      <c r="H19" s="31" t="s">
        <v>25</v>
      </c>
      <c r="I19" s="32" t="n">
        <v>0.12</v>
      </c>
      <c r="J19" s="33" t="n">
        <v>20</v>
      </c>
      <c r="K19" s="30" t="s">
        <v>26</v>
      </c>
      <c r="L19" s="32" t="n">
        <v>7</v>
      </c>
      <c r="M19" s="98" t="n">
        <v>43752</v>
      </c>
      <c r="N19" s="32" t="s">
        <v>47</v>
      </c>
      <c r="O19" s="35" t="n">
        <v>43221</v>
      </c>
      <c r="P19" s="36" t="n">
        <v>799</v>
      </c>
      <c r="Q19" s="36" t="n">
        <v>450</v>
      </c>
      <c r="R19" s="37" t="str">
        <f aca="false">HYPERLINK("https://amzn.to/2SX2HUi","link*")</f>
        <v>link*</v>
      </c>
      <c r="S19" s="37" t="str">
        <f aca="false">HYPERLINK("https://www.bhphotovideo.com/c/product/1352863-REG/samyang_syio14af_e_14mm_f_2_8_f_f_wide.html/BI/19619/KBID/12129/DFF/d10-v21-t1-x837928/SID/EZ","link*")</f>
        <v>link*</v>
      </c>
      <c r="T19" s="37" t="str">
        <f aca="false">HYPERLINK("https://amzn.to/31hwSIL","link*")</f>
        <v>link*</v>
      </c>
      <c r="U19" s="37"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9" s="38"/>
    </row>
    <row r="20" customFormat="false" ht="15.75" hidden="true" customHeight="false" outlineLevel="0" collapsed="false">
      <c r="A20" s="54" t="s">
        <v>34</v>
      </c>
      <c r="B20" s="55" t="n">
        <v>847</v>
      </c>
      <c r="C20" s="56" t="n">
        <v>12</v>
      </c>
      <c r="D20" s="57" t="n">
        <v>2.8</v>
      </c>
      <c r="E20" s="58" t="n">
        <v>97.6</v>
      </c>
      <c r="F20" s="59" t="n">
        <v>137</v>
      </c>
      <c r="G20" s="60" t="s">
        <v>30</v>
      </c>
      <c r="H20" s="61" t="s">
        <v>25</v>
      </c>
      <c r="I20" s="62" t="n">
        <v>0.14</v>
      </c>
      <c r="J20" s="63" t="n">
        <v>28</v>
      </c>
      <c r="K20" s="60" t="s">
        <v>26</v>
      </c>
      <c r="L20" s="62" t="n">
        <v>9</v>
      </c>
      <c r="M20" s="64" t="s">
        <v>35</v>
      </c>
      <c r="N20" s="62" t="s">
        <v>32</v>
      </c>
      <c r="O20" s="65" t="n">
        <v>44056</v>
      </c>
      <c r="P20" s="66" t="n">
        <v>2999</v>
      </c>
      <c r="Q20" s="66" t="s">
        <v>36</v>
      </c>
      <c r="R20" s="67"/>
      <c r="S20" s="68" t="s">
        <v>33</v>
      </c>
      <c r="T20" s="67"/>
      <c r="U20" s="53" t="s">
        <v>33</v>
      </c>
      <c r="V20" s="69" t="s">
        <v>37</v>
      </c>
    </row>
    <row r="21" customFormat="false" ht="15.75" hidden="true" customHeight="false" outlineLevel="0" collapsed="false">
      <c r="A21" s="113" t="str">
        <f aca="false">HYPERLINK("https://phillipreeve.net/blog/sony-fe-16-35mm-f4-za-t-review/","Sony ZA 4/16-35 OSS ")</f>
        <v>Sony ZA 4/16-35 OSS </v>
      </c>
      <c r="B21" s="40" t="n">
        <v>523</v>
      </c>
      <c r="C21" s="41" t="n">
        <v>16</v>
      </c>
      <c r="D21" s="42" t="n">
        <v>4</v>
      </c>
      <c r="E21" s="43" t="n">
        <v>78</v>
      </c>
      <c r="F21" s="44" t="n">
        <v>98</v>
      </c>
      <c r="G21" s="45" t="s">
        <v>30</v>
      </c>
      <c r="H21" s="46" t="s">
        <v>49</v>
      </c>
      <c r="I21" s="47" t="n">
        <v>0.19</v>
      </c>
      <c r="J21" s="48" t="n">
        <v>28</v>
      </c>
      <c r="K21" s="114" t="s">
        <v>50</v>
      </c>
      <c r="L21" s="47" t="n">
        <v>7</v>
      </c>
      <c r="M21" s="49" t="s">
        <v>38</v>
      </c>
      <c r="N21" s="47" t="s">
        <v>32</v>
      </c>
      <c r="O21" s="50" t="n">
        <v>41883</v>
      </c>
      <c r="P21" s="51" t="n">
        <v>1349</v>
      </c>
      <c r="Q21" s="51" t="n">
        <v>800</v>
      </c>
      <c r="R21" s="52" t="str">
        <f aca="false">HYPERLINK("http://amzn.to/2v2sY7q","link*")</f>
        <v>link*</v>
      </c>
      <c r="S21" s="52" t="str">
        <f aca="false">HYPERLINK("https://www.bhphotovideo.com/c/product/1380866-REG/sony_16_35mm_f_4_vario_tsr.html/BI/19619/KBID/12129/kw/SO16354F/DFF/d10-v2-t1-xSO16354F","link*")</f>
        <v>link*</v>
      </c>
      <c r="T21" s="52" t="str">
        <f aca="false">HYPERLINK("http://amzn.to/2wyMLuP","link*")</f>
        <v>link*</v>
      </c>
      <c r="U21" s="52"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22" customFormat="false" ht="15.75" hidden="true" customHeight="false" outlineLevel="0" collapsed="false">
      <c r="A22" s="128" t="str">
        <f aca="false">HYPERLINK("https://phillipreeve.net/blog/review-sony-fe-24mm-1-4-gm/","Sony GM 1.4/24")</f>
        <v>Sony GM 1.4/24</v>
      </c>
      <c r="B22" s="81" t="n">
        <v>445</v>
      </c>
      <c r="C22" s="82" t="n">
        <v>24</v>
      </c>
      <c r="D22" s="142" t="n">
        <v>1.4</v>
      </c>
      <c r="E22" s="133" t="n">
        <v>75</v>
      </c>
      <c r="F22" s="139" t="n">
        <v>92</v>
      </c>
      <c r="G22" s="89" t="s">
        <v>30</v>
      </c>
      <c r="H22" s="87" t="s">
        <v>54</v>
      </c>
      <c r="I22" s="86" t="n">
        <v>0.17</v>
      </c>
      <c r="J22" s="92" t="n">
        <v>1399</v>
      </c>
      <c r="K22" s="93" t="str">
        <f aca="false">HYPERLINK("https://amzn.to/2ywcbw1","link*")</f>
        <v>link*</v>
      </c>
      <c r="L22" s="93" t="str">
        <f aca="false">HYPERLINK("https://www.bhphotovideo.com/c/product/1435887-REG/sony_fe_24mm_f_1_4_gm.html/BI/19619/KBID/12129/DFF/d10-v21-t1-x915647/SID/EZ","link*")</f>
        <v>link*</v>
      </c>
      <c r="M22" s="93" t="str">
        <f aca="false">HYPERLINK("https://amzn.to/2L2tV9y","link*")</f>
        <v>link*</v>
      </c>
      <c r="N22" s="93" t="str">
        <f aca="false">HYPERLINK("https://amzn.to/338yg28","link*")</f>
        <v>link*</v>
      </c>
      <c r="O22" s="88" t="n">
        <v>25</v>
      </c>
      <c r="P22" s="89" t="s">
        <v>26</v>
      </c>
      <c r="Q22" s="86" t="n">
        <v>11</v>
      </c>
      <c r="R22" s="126" t="s">
        <v>27</v>
      </c>
      <c r="S22" s="86" t="s">
        <v>32</v>
      </c>
      <c r="T22" s="91" t="n">
        <v>43374</v>
      </c>
    </row>
    <row r="23" customFormat="false" ht="15.75" hidden="true" customHeight="false" outlineLevel="0" collapsed="false">
      <c r="A23" s="80" t="s">
        <v>75</v>
      </c>
      <c r="B23" s="81" t="n">
        <v>665</v>
      </c>
      <c r="C23" s="82" t="n">
        <v>24</v>
      </c>
      <c r="D23" s="142" t="n">
        <v>1.4</v>
      </c>
      <c r="E23" s="133" t="n">
        <v>85</v>
      </c>
      <c r="F23" s="139" t="n">
        <v>90</v>
      </c>
      <c r="G23" s="86" t="s">
        <v>30</v>
      </c>
      <c r="H23" s="87" t="s">
        <v>57</v>
      </c>
      <c r="I23" s="86" t="n">
        <v>0.19</v>
      </c>
      <c r="J23" s="92" t="n">
        <v>849</v>
      </c>
      <c r="K23" s="93" t="str">
        <f aca="false">HYPERLINK("https://amzn.to/2Isw2Rv","link*")</f>
        <v>link*</v>
      </c>
      <c r="L23" s="93" t="str">
        <f aca="false">HYPERLINK("https://www.bhphotovideo.com/c/product/1393491-REG/sigma_24mm_f_1_4_dg_hsm.html/BI/19619/KBID/12129/kw/SI2414SO/DFF/d10-v2-t1-xSI2414SO","link*")</f>
        <v>link*</v>
      </c>
      <c r="M23" s="93" t="str">
        <f aca="false">HYPERLINK("https://amzn.to/2K7sIP4","link*")</f>
        <v>link*</v>
      </c>
      <c r="N23" s="93"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O23" s="88" t="n">
        <v>25</v>
      </c>
      <c r="P23" s="89" t="s">
        <v>26</v>
      </c>
      <c r="Q23" s="86" t="n">
        <v>9</v>
      </c>
      <c r="R23" s="122" t="n">
        <v>43784</v>
      </c>
      <c r="S23" s="86" t="s">
        <v>43</v>
      </c>
      <c r="T23" s="91" t="n">
        <v>43221</v>
      </c>
      <c r="U23" s="69" t="s">
        <v>260</v>
      </c>
    </row>
    <row r="24" customFormat="false" ht="15.75" hidden="true" customHeight="false" outlineLevel="0" collapsed="false">
      <c r="A24" s="128" t="str">
        <f aca="false">HYPERLINK("https://phillipreeve.net/blog/review-samyang-af-2-4-28-fe-at-least-its-small/","Samyang AF 24mm F/2.8")</f>
        <v>Samyang AF 24mm F/2.8</v>
      </c>
      <c r="B24" s="81" t="n">
        <v>93</v>
      </c>
      <c r="C24" s="82" t="n">
        <v>24</v>
      </c>
      <c r="D24" s="83" t="n">
        <v>2.8</v>
      </c>
      <c r="E24" s="133" t="n">
        <v>61</v>
      </c>
      <c r="F24" s="134" t="n">
        <v>37</v>
      </c>
      <c r="G24" s="89" t="s">
        <v>30</v>
      </c>
      <c r="H24" s="87" t="s">
        <v>80</v>
      </c>
      <c r="I24" s="86" t="n">
        <v>0.15</v>
      </c>
      <c r="J24" s="127" t="n">
        <v>279</v>
      </c>
      <c r="K24" s="93" t="str">
        <f aca="false">HYPERLINK("https://amzn.to/2NEHZ7c","link*")</f>
        <v>link*</v>
      </c>
      <c r="L24" s="93" t="str">
        <f aca="false">HYPERLINK("https://www.bhphotovideo.com/c/product/1413350-REG/samyang_syio24af_e_af_24mm_f_2_8_fe.html/BI/19619/KBID/12129/kw/SASYIO24AFE/DFF/d10-v2-t1-xSASYIO24AFE","link*")</f>
        <v>link*</v>
      </c>
      <c r="M24" s="93" t="str">
        <f aca="false">HYPERLINK("https://amzn.to/2Onv1QE","link*")</f>
        <v>link*</v>
      </c>
      <c r="N24" s="93"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c r="O24" s="88" t="n">
        <v>20</v>
      </c>
      <c r="P24" s="89" t="s">
        <v>26</v>
      </c>
      <c r="Q24" s="86" t="n">
        <v>9</v>
      </c>
      <c r="R24" s="126" t="s">
        <v>81</v>
      </c>
      <c r="S24" s="86" t="s">
        <v>47</v>
      </c>
      <c r="T24" s="91" t="n">
        <v>43282</v>
      </c>
    </row>
    <row r="25" customFormat="false" ht="15.75" hidden="true" customHeight="false" outlineLevel="0" collapsed="false">
      <c r="A25" s="144" t="str">
        <f aca="false">HYPERLINK("https://phillipreeve.net/blog/review-sony-fe-2-824-70mm-gm/","Sony GM 2.8/24-70")</f>
        <v>Sony GM 2.8/24-70</v>
      </c>
      <c r="B25" s="81" t="n">
        <v>886</v>
      </c>
      <c r="C25" s="82" t="n">
        <v>24</v>
      </c>
      <c r="D25" s="83" t="n">
        <v>2.8</v>
      </c>
      <c r="E25" s="133" t="n">
        <v>88</v>
      </c>
      <c r="F25" s="134" t="n">
        <v>136</v>
      </c>
      <c r="G25" s="89" t="s">
        <v>30</v>
      </c>
      <c r="H25" s="87" t="s">
        <v>52</v>
      </c>
      <c r="I25" s="135" t="n">
        <v>0.25</v>
      </c>
      <c r="J25" s="92" t="n">
        <v>2199</v>
      </c>
      <c r="K25" s="93" t="str">
        <f aca="false">HYPERLINK("https://amzn.to/2STHavK","link*")</f>
        <v>link*</v>
      </c>
      <c r="L25" s="93" t="str">
        <f aca="false">HYPERLINK("https://www.bhphotovideo.com/c/search?Ntt=gm%2024-70&amp;N=0&amp;InitialSearch=yes&amp;sts=ma&amp;Top+Nav-Search=&amp;BI=19619&amp;KBID=12129&amp;KWID=EZ","link*")</f>
        <v>link*</v>
      </c>
      <c r="M25" s="93" t="str">
        <f aca="false">HYPERLINK("https://amzn.to/2ZwoyU7","link*")</f>
        <v>link*</v>
      </c>
      <c r="N25" s="93"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c r="O25" s="88" t="n">
        <v>38</v>
      </c>
      <c r="P25" s="89" t="s">
        <v>26</v>
      </c>
      <c r="Q25" s="86" t="n">
        <v>11</v>
      </c>
      <c r="R25" s="126" t="s">
        <v>45</v>
      </c>
      <c r="S25" s="86" t="s">
        <v>32</v>
      </c>
      <c r="T25" s="91" t="n">
        <v>42401</v>
      </c>
    </row>
    <row r="26" customFormat="false" ht="15.75" hidden="true" customHeight="false" outlineLevel="0" collapsed="false">
      <c r="A26" s="80" t="s">
        <v>89</v>
      </c>
      <c r="B26" s="81" t="n">
        <v>780</v>
      </c>
      <c r="C26" s="82" t="n">
        <v>24</v>
      </c>
      <c r="D26" s="83" t="s">
        <v>90</v>
      </c>
      <c r="E26" s="133" t="n">
        <v>80</v>
      </c>
      <c r="F26" s="134" t="n">
        <v>119</v>
      </c>
      <c r="G26" s="89" t="s">
        <v>30</v>
      </c>
      <c r="H26" s="87" t="s">
        <v>49</v>
      </c>
      <c r="I26" s="135" t="n">
        <v>0.27</v>
      </c>
      <c r="J26" s="92" t="n">
        <v>998</v>
      </c>
      <c r="K26" s="93" t="str">
        <f aca="false">HYPERLINK("http://amzn.to/2fbX5FU","link*")</f>
        <v>link*</v>
      </c>
      <c r="L26" s="93" t="str">
        <f aca="false">HYPERLINK("https://www.bhphotovideo.com/c/search?Ntt=sony%2024-240&amp;N=0&amp;InitialSearch=yes&amp;sts=ma&amp;Top+Nav-Search=&amp;BI=19619&amp;KBID=12129&amp;KWID=EZ","link*")</f>
        <v>link*</v>
      </c>
      <c r="M26" s="93" t="str">
        <f aca="false">HYPERLINK("http://amzn.to/2wyrL7A","link*")</f>
        <v>link*</v>
      </c>
      <c r="N26" s="93"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c r="O26" s="88" t="n">
        <v>50</v>
      </c>
      <c r="P26" s="174" t="s">
        <v>50</v>
      </c>
      <c r="Q26" s="86" t="n">
        <v>7</v>
      </c>
      <c r="R26" s="126" t="s">
        <v>91</v>
      </c>
      <c r="S26" s="86" t="s">
        <v>32</v>
      </c>
      <c r="T26" s="91" t="n">
        <v>42064</v>
      </c>
    </row>
    <row r="27" customFormat="false" ht="15.75" hidden="true" customHeight="false" outlineLevel="0" collapsed="false">
      <c r="A27" s="80" t="s">
        <v>92</v>
      </c>
      <c r="B27" s="81" t="n">
        <v>663</v>
      </c>
      <c r="C27" s="82" t="n">
        <v>24</v>
      </c>
      <c r="D27" s="83" t="n">
        <v>4</v>
      </c>
      <c r="E27" s="133" t="n">
        <v>83</v>
      </c>
      <c r="F27" s="139" t="n">
        <v>113</v>
      </c>
      <c r="G27" s="89" t="s">
        <v>30</v>
      </c>
      <c r="H27" s="87" t="s">
        <v>57</v>
      </c>
      <c r="I27" s="135" t="n">
        <v>0.31</v>
      </c>
      <c r="J27" s="92" t="n">
        <v>1398</v>
      </c>
      <c r="K27" s="93" t="str">
        <f aca="false">HYPERLINK("https://amzn.to/2K7LwMR","link*")</f>
        <v>link*</v>
      </c>
      <c r="L27" s="93" t="str">
        <f aca="false">HYPERLINK("https://www.bhphotovideo.com/c/search?Ntt=sony%2024-105&amp;N=0&amp;InitialSearch=yes&amp;sts=ma&amp;Top+Nav-Search=&amp;BI=19619&amp;KBID=12129&amp;KWID=EZ","link*")</f>
        <v>link*</v>
      </c>
      <c r="M27" s="93" t="str">
        <f aca="false">HYPERLINK("https://amzn.to/2Ld8hOS","link*")</f>
        <v>link*</v>
      </c>
      <c r="N27" s="93"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c r="O27" s="88" t="n">
        <v>38</v>
      </c>
      <c r="P27" s="174" t="s">
        <v>50</v>
      </c>
      <c r="Q27" s="86" t="n">
        <v>9</v>
      </c>
      <c r="R27" s="126" t="s">
        <v>35</v>
      </c>
      <c r="S27" s="86" t="s">
        <v>32</v>
      </c>
      <c r="T27" s="91" t="n">
        <v>43009</v>
      </c>
    </row>
    <row r="28" customFormat="false" ht="15.75" hidden="true" customHeight="false" outlineLevel="0" collapsed="false">
      <c r="A28" s="128" t="str">
        <f aca="false">HYPERLINK("https://phillipreeve.net/blog/rolling-review-carl-zeiss-vario-tessar-t-fe-424-70-za/","Sony ZA 4/24-70 OSS")</f>
        <v>Sony ZA 4/24-70 OSS</v>
      </c>
      <c r="B28" s="81" t="n">
        <v>426</v>
      </c>
      <c r="C28" s="82" t="n">
        <v>24</v>
      </c>
      <c r="D28" s="83" t="n">
        <v>4</v>
      </c>
      <c r="E28" s="133" t="n">
        <v>73</v>
      </c>
      <c r="F28" s="139" t="n">
        <v>95</v>
      </c>
      <c r="G28" s="89" t="s">
        <v>30</v>
      </c>
      <c r="H28" s="87" t="s">
        <v>54</v>
      </c>
      <c r="I28" s="86" t="n">
        <v>0.2</v>
      </c>
      <c r="J28" s="92" t="n">
        <v>898</v>
      </c>
      <c r="K28" s="93" t="str">
        <f aca="false">HYPERLINK("http://amzn.to/2vlG2Yq","link*")</f>
        <v>link*</v>
      </c>
      <c r="L28" s="93" t="str">
        <f aca="false">HYPERLINK("https://www.bhphotovideo.com/c/product/1008126-REG/sony_sel2470z_vario_tessar_t_fe_24_70mm.html/BI/19619/KBID/12129/DFF/d10-v21-t1-x466842/SID/EZ","link*")</f>
        <v>link*</v>
      </c>
      <c r="M28" s="93" t="str">
        <f aca="false">HYPERLINK("http://amzn.to/2fl1XZk","link*")</f>
        <v>link*</v>
      </c>
      <c r="N28" s="93"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O28" s="88" t="n">
        <v>40</v>
      </c>
      <c r="P28" s="174" t="s">
        <v>50</v>
      </c>
      <c r="Q28" s="86" t="n">
        <v>7</v>
      </c>
      <c r="R28" s="126" t="s">
        <v>38</v>
      </c>
      <c r="S28" s="86" t="s">
        <v>32</v>
      </c>
      <c r="T28" s="91" t="n">
        <v>41640</v>
      </c>
    </row>
    <row r="29" customFormat="false" ht="15.75" hidden="true" customHeight="false" outlineLevel="0" collapsed="false">
      <c r="A29" s="128" t="str">
        <f aca="false">HYPERLINK("https://phillipreeve.net/blog/review-zeiss-batis-distagon-t-25mm-f2/","Zeiss Batis 2/25")</f>
        <v>Zeiss Batis 2/25</v>
      </c>
      <c r="B29" s="81" t="n">
        <v>335</v>
      </c>
      <c r="C29" s="82" t="n">
        <v>25</v>
      </c>
      <c r="D29" s="83" t="n">
        <v>2</v>
      </c>
      <c r="E29" s="133" t="n">
        <v>92</v>
      </c>
      <c r="F29" s="139" t="n">
        <v>78</v>
      </c>
      <c r="G29" s="89" t="s">
        <v>30</v>
      </c>
      <c r="H29" s="87" t="s">
        <v>54</v>
      </c>
      <c r="I29" s="86" t="n">
        <v>0.19</v>
      </c>
      <c r="J29" s="92" t="n">
        <v>1299</v>
      </c>
      <c r="K29" s="93" t="str">
        <f aca="false">HYPERLINK("https://amzn.to/2ypHQiT","link*")</f>
        <v>link*</v>
      </c>
      <c r="L29" s="93" t="str">
        <f aca="false">HYPERLINK("https://www.bhphotovideo.com/c/product/1140832-REG/zeiss_2103_750_25mm_f_2_0_batis_wide.html/BI/19619/KBID/12129/DFF/d10-v21-t1-x627141/SID/EZ","link*")</f>
        <v>link*</v>
      </c>
      <c r="M29" s="93" t="str">
        <f aca="false">HYPERLINK("https://amzn.to/2L20DIj","link*")</f>
        <v>link*</v>
      </c>
      <c r="N29" s="93"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c r="O29" s="88" t="n">
        <v>20</v>
      </c>
      <c r="P29" s="89" t="s">
        <v>26</v>
      </c>
      <c r="Q29" s="86" t="n">
        <v>9</v>
      </c>
      <c r="R29" s="126" t="s">
        <v>93</v>
      </c>
      <c r="S29" s="86" t="s">
        <v>59</v>
      </c>
      <c r="T29" s="91" t="n">
        <v>42125</v>
      </c>
    </row>
    <row r="30" customFormat="false" ht="15.75" hidden="true" customHeight="false" outlineLevel="0" collapsed="false">
      <c r="A30" s="95" t="s">
        <v>51</v>
      </c>
      <c r="B30" s="25" t="n">
        <v>680</v>
      </c>
      <c r="C30" s="26" t="n">
        <v>16</v>
      </c>
      <c r="D30" s="27" t="n">
        <v>2.8</v>
      </c>
      <c r="E30" s="96" t="n">
        <v>89</v>
      </c>
      <c r="F30" s="97" t="n">
        <v>122</v>
      </c>
      <c r="G30" s="30" t="s">
        <v>30</v>
      </c>
      <c r="H30" s="31" t="s">
        <v>52</v>
      </c>
      <c r="I30" s="32" t="n">
        <v>0.19</v>
      </c>
      <c r="J30" s="33" t="n">
        <v>28</v>
      </c>
      <c r="K30" s="30" t="s">
        <v>26</v>
      </c>
      <c r="L30" s="32" t="n">
        <v>11</v>
      </c>
      <c r="M30" s="34" t="s">
        <v>53</v>
      </c>
      <c r="N30" s="32" t="s">
        <v>32</v>
      </c>
      <c r="O30" s="35" t="n">
        <v>42856</v>
      </c>
      <c r="P30" s="36" t="n">
        <v>2199</v>
      </c>
      <c r="Q30" s="36" t="n">
        <v>1800</v>
      </c>
      <c r="R30" s="37" t="str">
        <f aca="false">HYPERLINK("https://amzn.to/2SR0IRl","link*")</f>
        <v>link*</v>
      </c>
      <c r="S30" s="37" t="str">
        <f aca="false">HYPERLINK("https://www.bhphotovideo.com/c/product/1338516-REG/sony_sel1635gm_fe_16_35mm_f_2_8_gm.html/BI/19619/KBID/12129/DFF/d10-v21-t1-x822837/SID/EZ","link*")</f>
        <v>link*</v>
      </c>
      <c r="T30" s="37" t="str">
        <f aca="false">HYPERLINK("https://amzn.to/2T1ZxOU","link*")</f>
        <v>link*</v>
      </c>
      <c r="U30" s="37"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30" s="38"/>
    </row>
    <row r="31" customFormat="false" ht="15.75" hidden="true" customHeight="false" outlineLevel="0" collapsed="false">
      <c r="A31" s="80" t="s">
        <v>94</v>
      </c>
      <c r="B31" s="81" t="n">
        <v>965</v>
      </c>
      <c r="C31" s="82" t="n">
        <v>28</v>
      </c>
      <c r="D31" s="83" t="n">
        <v>1.4</v>
      </c>
      <c r="E31" s="133" t="n">
        <v>83</v>
      </c>
      <c r="F31" s="139" t="n">
        <v>134</v>
      </c>
      <c r="G31" s="89" t="s">
        <v>30</v>
      </c>
      <c r="H31" s="87" t="s">
        <v>57</v>
      </c>
      <c r="I31" s="86" t="n">
        <v>0.19</v>
      </c>
      <c r="J31" s="92" t="n">
        <v>1399</v>
      </c>
      <c r="K31" s="93" t="str">
        <f aca="false">HYPERLINK("https://amzn.to/2Wn0pxO","link*")</f>
        <v>link*</v>
      </c>
      <c r="L31" s="93" t="str">
        <f aca="false">HYPERLINK("https://www.bhphotovideo.com/c/product/1436285-REG/sigma_28mm_f_1_4_dg_hsm.html/BI/19619/KBID/12129/kw/SI2814DGSE/DFF/d10-v2-t1-xSI2814DGSE","link*")</f>
        <v>link*</v>
      </c>
      <c r="M31" s="93" t="str">
        <f aca="false">HYPERLINK("https://amzn.to/2WzVkHd","link*")</f>
        <v>link*</v>
      </c>
      <c r="N31" s="93"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c r="O31" s="88" t="n">
        <v>28</v>
      </c>
      <c r="P31" s="89" t="s">
        <v>26</v>
      </c>
      <c r="Q31" s="86" t="n">
        <v>9</v>
      </c>
      <c r="R31" s="126" t="s">
        <v>91</v>
      </c>
      <c r="S31" s="86" t="s">
        <v>43</v>
      </c>
      <c r="T31" s="91" t="n">
        <v>43435</v>
      </c>
    </row>
    <row r="32" customFormat="false" ht="15.75" hidden="true" customHeight="false" outlineLevel="0" collapsed="false">
      <c r="A32" s="128" t="str">
        <f aca="false">HYPERLINK("https://www.systemkamera-forum.de/blog/2015/05/sony-fe-28mm-f2-test-und-erfahrungsbericht/","Sony FE 2/28")</f>
        <v>Sony FE 2/28</v>
      </c>
      <c r="B32" s="81" t="n">
        <v>200</v>
      </c>
      <c r="C32" s="82" t="n">
        <v>28</v>
      </c>
      <c r="D32" s="83" t="n">
        <v>2</v>
      </c>
      <c r="E32" s="133" t="n">
        <v>60</v>
      </c>
      <c r="F32" s="139" t="n">
        <v>60</v>
      </c>
      <c r="G32" s="89" t="s">
        <v>30</v>
      </c>
      <c r="H32" s="87" t="s">
        <v>80</v>
      </c>
      <c r="I32" s="86" t="n">
        <v>0.13</v>
      </c>
      <c r="J32" s="145" t="n">
        <v>448</v>
      </c>
      <c r="K32" s="93" t="str">
        <f aca="false">HYPERLINK("https://amzn.to/2GXJWdo","link*")</f>
        <v>link*</v>
      </c>
      <c r="L32" s="93" t="str">
        <f aca="false">HYPERLINK("https://www.bhphotovideo.com/c/product/1402637-REG/sony_fe_28mm_f_2_lens.html/BI/19619/KBID/12129/kw/SO2820F/DFF/d10-v2-t1-xSO2820F","link*")</f>
        <v>link*</v>
      </c>
      <c r="M32" s="93" t="str">
        <f aca="false">HYPERLINK("http://amzn.to/2wyLOCO","link*")</f>
        <v>link*</v>
      </c>
      <c r="N32" s="93" t="str">
        <f aca="false">HYPERLINK("http://rover.ebay.com/rover/1/711-53200-19255-0/1?icep_ff3=10&amp;pub=5575076376&amp;toolid=10001&amp;campid=5338164340&amp;customid=&amp;icep_uq=sony+28+fe&amp;icep_sellerId=&amp;icep_ex_kw=&amp;icep_sortBy=12&amp;icep_catId=&amp;icep_minPrice=&amp;icep_maxPrice=&amp;ipn=psmain&amp;icep_vectorid=229466&amp;kw"&amp;"id=902099&amp;mtid=824&amp;kw=lg","link*")</f>
        <v>link*</v>
      </c>
      <c r="O32" s="88" t="n">
        <v>29</v>
      </c>
      <c r="P32" s="89" t="s">
        <v>26</v>
      </c>
      <c r="Q32" s="86" t="n">
        <v>9</v>
      </c>
      <c r="R32" s="126" t="s">
        <v>61</v>
      </c>
      <c r="S32" s="86" t="s">
        <v>32</v>
      </c>
      <c r="T32" s="91" t="n">
        <v>42064</v>
      </c>
    </row>
    <row r="33" customFormat="false" ht="15.75" hidden="true" customHeight="false" outlineLevel="0" collapsed="false">
      <c r="A33" s="128" t="str">
        <f aca="false">HYPERLINK("https://phillipreeve.net/blog/review-tamron-28-75mm-f-2-8-di-iii-rxd-sony-e-mount/","Tamron 2.8/28-75")</f>
        <v>Tamron 2.8/28-75</v>
      </c>
      <c r="B33" s="81" t="n">
        <v>550</v>
      </c>
      <c r="C33" s="82" t="n">
        <v>28</v>
      </c>
      <c r="D33" s="83" t="n">
        <v>2.8</v>
      </c>
      <c r="E33" s="133" t="n">
        <v>73</v>
      </c>
      <c r="F33" s="139" t="n">
        <v>118</v>
      </c>
      <c r="G33" s="89" t="s">
        <v>30</v>
      </c>
      <c r="H33" s="87" t="s">
        <v>54</v>
      </c>
      <c r="I33" s="135" t="n">
        <v>0.34</v>
      </c>
      <c r="J33" s="145" t="n">
        <v>879</v>
      </c>
      <c r="K33" s="93" t="str">
        <f aca="false">HYPERLINK("https://amzn.to/2ST5uxq","link*")</f>
        <v>link*</v>
      </c>
      <c r="L33" s="93" t="str">
        <f aca="false">HYPERLINK("https://www.bhphotovideo.com/c/product/1393332-REG/tamron_a036_28_75mm_f_2_8_di_iii.html/BI/19619/KBID/12129/DFF/d10-v21-t1-x892059/SID/EZ","link*")</f>
        <v>link*</v>
      </c>
      <c r="M33" s="93" t="str">
        <f aca="false">HYPERLINK("https://amzn.to/2ZmSzdU","link*")</f>
        <v>link*</v>
      </c>
      <c r="N33" s="93"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c r="O33" s="88" t="n">
        <v>19</v>
      </c>
      <c r="P33" s="89" t="s">
        <v>26</v>
      </c>
      <c r="Q33" s="86" t="n">
        <v>9</v>
      </c>
      <c r="R33" s="126" t="s">
        <v>95</v>
      </c>
      <c r="S33" s="86" t="s">
        <v>56</v>
      </c>
      <c r="T33" s="91" t="n">
        <v>43252</v>
      </c>
    </row>
    <row r="34" customFormat="false" ht="15.75" hidden="true" customHeight="false" outlineLevel="0" collapsed="false">
      <c r="A34" s="80" t="s">
        <v>102</v>
      </c>
      <c r="B34" s="81" t="n">
        <v>295</v>
      </c>
      <c r="C34" s="82" t="n">
        <v>28</v>
      </c>
      <c r="D34" s="83" t="s">
        <v>103</v>
      </c>
      <c r="E34" s="133" t="n">
        <v>73</v>
      </c>
      <c r="F34" s="139" t="n">
        <v>83</v>
      </c>
      <c r="G34" s="89" t="s">
        <v>30</v>
      </c>
      <c r="H34" s="87" t="s">
        <v>78</v>
      </c>
      <c r="I34" s="86" t="n">
        <v>0.19</v>
      </c>
      <c r="J34" s="92" t="n">
        <v>398</v>
      </c>
      <c r="K34" s="93" t="str">
        <f aca="false">HYPERLINK("https://www.amazon.com/gp/product/B00FYOFADE/ref=as_li_tl?ie=UTF8&amp;tag=wwwphillipree-20&amp;camp=1789&amp;creative=9325&amp;linkCode=as2&amp;creativeASIN=B00FYOFADE&amp;linkId=96720b245156eae53bb1a672d4453d3f","link*")</f>
        <v>link*</v>
      </c>
      <c r="L34" s="93" t="str">
        <f aca="false">HYPERLINK("https://www.bhphotovideo.com/c/product/1015472-REG/sony_sel2870_fe_28_70mm_f_3_5_5_6_oss.html/BI/19619/KBID/12129/DFF/d10-v21-t1-x473993/SID/EZ","link*")</f>
        <v>link*</v>
      </c>
      <c r="M34" s="93" t="str">
        <f aca="false">HYPERLINK("https://www.amazon.de/gp/product/B00HSHFPD0/ref=as_li_tl?ie=UTF8&amp;tag=wwwphillipree-21&amp;camp=1638&amp;creative=6742&amp;linkCode=as2&amp;creativeASIN=B00HSHFPD0&amp;linkId=6701f30673f8a4071232ca85e1953506","link*")</f>
        <v>link*</v>
      </c>
      <c r="N34" s="93"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c r="O34" s="88" t="n">
        <v>30</v>
      </c>
      <c r="P34" s="174" t="s">
        <v>50</v>
      </c>
      <c r="Q34" s="86" t="n">
        <v>7</v>
      </c>
      <c r="R34" s="126" t="s">
        <v>61</v>
      </c>
      <c r="S34" s="86" t="s">
        <v>32</v>
      </c>
      <c r="T34" s="91" t="n">
        <v>41548</v>
      </c>
    </row>
    <row r="35" customFormat="false" ht="15.75" hidden="true" customHeight="false" outlineLevel="0" collapsed="false">
      <c r="A35" s="80" t="s">
        <v>104</v>
      </c>
      <c r="B35" s="81" t="n">
        <v>1215</v>
      </c>
      <c r="C35" s="82" t="n">
        <v>28</v>
      </c>
      <c r="D35" s="83" t="n">
        <v>4</v>
      </c>
      <c r="E35" s="133" t="n">
        <v>105</v>
      </c>
      <c r="F35" s="139" t="n">
        <v>165</v>
      </c>
      <c r="G35" s="89" t="s">
        <v>30</v>
      </c>
      <c r="H35" s="387" t="s">
        <v>105</v>
      </c>
      <c r="I35" s="86"/>
      <c r="J35" s="92" t="n">
        <v>249</v>
      </c>
      <c r="K35" s="93" t="str">
        <f aca="false">HYPERLINK("http://amzn.to/2v2kiy9","link*")</f>
        <v>link*</v>
      </c>
      <c r="L35" s="93" t="str">
        <f aca="false">HYPERLINK("https://www.bhphotovideo.com/c/product/1082051-REG/sony_selp28135g_e_pz_28_135mm_f_4.html/BI/19619/KBID/12129/DFF/d10-v21-t1-x556056/SID/EZ","link*")</f>
        <v>link*</v>
      </c>
      <c r="M35" s="93" t="str">
        <f aca="false">HYPERLINK("http://amzn.to/2wlpg9b","link*")</f>
        <v>link*</v>
      </c>
      <c r="N35" s="93"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O35" s="88" t="n">
        <v>40</v>
      </c>
      <c r="P35" s="174" t="s">
        <v>50</v>
      </c>
      <c r="Q35" s="86" t="n">
        <v>9</v>
      </c>
      <c r="R35" s="126" t="s">
        <v>106</v>
      </c>
      <c r="S35" s="86" t="s">
        <v>32</v>
      </c>
      <c r="T35" s="91" t="n">
        <v>41883</v>
      </c>
      <c r="U35" s="69" t="s">
        <v>107</v>
      </c>
    </row>
    <row r="36" customFormat="false" ht="15.75" hidden="true" customHeight="true" outlineLevel="0" collapsed="false">
      <c r="A36" s="128" t="str">
        <f aca="false">HYPERLINK("https://phillipreeve.net/blog/review-sigma-35mm-1-2-art-dg-dn/","Sigma Art 1.2/35")</f>
        <v>Sigma Art 1.2/35</v>
      </c>
      <c r="B36" s="81" t="n">
        <v>1090</v>
      </c>
      <c r="C36" s="82" t="n">
        <v>35</v>
      </c>
      <c r="D36" s="388" t="n">
        <v>1.2</v>
      </c>
      <c r="E36" s="133" t="n">
        <v>88</v>
      </c>
      <c r="F36" s="139" t="n">
        <v>136</v>
      </c>
      <c r="G36" s="86" t="s">
        <v>30</v>
      </c>
      <c r="H36" s="288" t="s">
        <v>52</v>
      </c>
      <c r="I36" s="86" t="n">
        <v>0.19</v>
      </c>
      <c r="J36" s="92" t="n">
        <v>1499</v>
      </c>
      <c r="K36" s="93" t="str">
        <f aca="false">HYPERLINK("https://amzn.to/2LiHhxc","link*")</f>
        <v>link*</v>
      </c>
      <c r="L36" s="93" t="str">
        <f aca="false">HYPERLINK("https://www.bhphotovideo.com/c/product/1492967-REG/sigma_341969_35mm_f_1_2_dg_dn.html/BI/19619/KBID/12129/DFF/d10-v21-t1-x976038/SID/EZ","link*")</f>
        <v>link*</v>
      </c>
      <c r="M36" s="94"/>
      <c r="N36" s="93"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c r="O36" s="88" t="n">
        <v>30</v>
      </c>
      <c r="P36" s="89" t="s">
        <v>26</v>
      </c>
      <c r="Q36" s="86" t="n">
        <v>11</v>
      </c>
      <c r="R36" s="122" t="n">
        <v>43816</v>
      </c>
      <c r="S36" s="86" t="s">
        <v>43</v>
      </c>
      <c r="T36" s="91" t="n">
        <v>43647</v>
      </c>
    </row>
    <row r="37" customFormat="false" ht="15.75" hidden="true" customHeight="false" outlineLevel="0" collapsed="false">
      <c r="A37" s="128" t="str">
        <f aca="false">HYPERLINK("https://phillipreeve.net/blog/review-sony-fe-35mm-1-4-za/","Sony ZA 1.4/35")</f>
        <v>Sony ZA 1.4/35</v>
      </c>
      <c r="B37" s="81" t="n">
        <v>630</v>
      </c>
      <c r="C37" s="82" t="n">
        <v>35</v>
      </c>
      <c r="D37" s="83" t="n">
        <v>1.4</v>
      </c>
      <c r="E37" s="133" t="n">
        <v>79</v>
      </c>
      <c r="F37" s="139" t="n">
        <v>112</v>
      </c>
      <c r="G37" s="86" t="s">
        <v>30</v>
      </c>
      <c r="H37" s="87" t="s">
        <v>49</v>
      </c>
      <c r="I37" s="86" t="n">
        <v>0.18</v>
      </c>
      <c r="J37" s="92" t="n">
        <v>1599</v>
      </c>
      <c r="K37" s="93" t="str">
        <f aca="false">HYPERLINK("https://amzn.to/2LRSMOS","link*")</f>
        <v>link*</v>
      </c>
      <c r="L37" s="93" t="str">
        <f aca="false">HYPERLINK("https://www.bhphotovideo.com/c/product/1126137-REG/sony_sel35f14z_distagon_t_fe_35mm.html/BI/19619/KBID/12129/DFF/d10-v21-t1-x612725/SID/EZ","link*")</f>
        <v>link*</v>
      </c>
      <c r="M37" s="93" t="str">
        <f aca="false">HYPERLINK("https://amzn.to/2ZmfSnX","link*")</f>
        <v>link*</v>
      </c>
      <c r="N37" s="93" t="str">
        <f aca="false">HYPERLINK("http://rover.ebay.com/rover/1/711-53200-19255-0/1?icep_ff3=9&amp;pub=5575076376&amp;toolid=10001&amp;campid=5338573609&amp;customid=&amp;icep_uq=sony+35+1.4+fe&amp;icep_sellerId=&amp;icep_ex_kw=&amp;icep_sortBy=12&amp;icep_catId=3323&amp;icep_minPrice=&amp;icep_maxPrice=&amp;ipn=psmain&amp;icep_vectorid=22"&amp;"9466&amp;kwid=902099&amp;mtid=824&amp;kw=lg","link*")</f>
        <v>link*</v>
      </c>
      <c r="O37" s="88" t="n">
        <v>30</v>
      </c>
      <c r="P37" s="89" t="s">
        <v>26</v>
      </c>
      <c r="Q37" s="86" t="n">
        <v>9</v>
      </c>
      <c r="R37" s="122" t="n">
        <v>43689</v>
      </c>
      <c r="S37" s="86" t="s">
        <v>32</v>
      </c>
      <c r="T37" s="91" t="n">
        <v>42064</v>
      </c>
    </row>
    <row r="38" customFormat="false" ht="15.75" hidden="true" customHeight="false" outlineLevel="0" collapsed="false">
      <c r="A38" s="80" t="s">
        <v>261</v>
      </c>
      <c r="B38" s="81" t="n">
        <v>645</v>
      </c>
      <c r="C38" s="82" t="n">
        <v>35</v>
      </c>
      <c r="D38" s="83" t="n">
        <v>1.4</v>
      </c>
      <c r="E38" s="133" t="n">
        <v>76</v>
      </c>
      <c r="F38" s="134" t="n">
        <v>115</v>
      </c>
      <c r="G38" s="86" t="s">
        <v>30</v>
      </c>
      <c r="H38" s="87" t="s">
        <v>54</v>
      </c>
      <c r="I38" s="86" t="n">
        <v>0.17</v>
      </c>
      <c r="J38" s="92" t="n">
        <v>799</v>
      </c>
      <c r="K38" s="93" t="str">
        <f aca="false">HYPERLINK("https://amzn.to/2K8DDXH","link*")</f>
        <v>link*</v>
      </c>
      <c r="L38" s="93" t="str">
        <f aca="false">HYPERLINK("https://www.bhphotovideo.com/c/product/1381712-REG/voigtlander_nokton_classic_35mm_f_1_4.html/BI/19619/KBID/12129/DFF/d10-v21-t1-x877353/SID/EZ","link*")</f>
        <v>link*</v>
      </c>
      <c r="M38" s="93" t="str">
        <f aca="false">HYPERLINK("https://amzn.to/2Zhl3FI","link*")</f>
        <v>link*</v>
      </c>
      <c r="N38" s="93"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O38" s="88" t="n">
        <v>30</v>
      </c>
      <c r="P38" s="89" t="s">
        <v>26</v>
      </c>
      <c r="Q38" s="86" t="n">
        <v>9</v>
      </c>
      <c r="R38" s="122" t="n">
        <v>43719</v>
      </c>
      <c r="S38" s="86" t="s">
        <v>47</v>
      </c>
      <c r="T38" s="91" t="n">
        <v>43009</v>
      </c>
      <c r="U38" s="69" t="s">
        <v>262</v>
      </c>
    </row>
    <row r="39" customFormat="false" ht="15.75" hidden="true" customHeight="false" outlineLevel="0" collapsed="false">
      <c r="A39" s="99" t="str">
        <f aca="false">HYPERLINK("https://phillipreeve.net/blog/review-tamron-17-28mm-f-2-8-di-iii-rxd/","Tamron 17-28mm f/2.8 Di III RXD")</f>
        <v>Tamron 17-28mm f/2.8 Di III RXD</v>
      </c>
      <c r="B39" s="100" t="n">
        <v>420</v>
      </c>
      <c r="C39" s="101" t="n">
        <v>17</v>
      </c>
      <c r="D39" s="102" t="n">
        <v>2.8</v>
      </c>
      <c r="E39" s="115" t="n">
        <v>73</v>
      </c>
      <c r="F39" s="116" t="n">
        <v>99</v>
      </c>
      <c r="G39" s="105" t="s">
        <v>30</v>
      </c>
      <c r="H39" s="106" t="s">
        <v>54</v>
      </c>
      <c r="I39" s="107" t="n">
        <v>0.19</v>
      </c>
      <c r="J39" s="108" t="n">
        <v>19</v>
      </c>
      <c r="K39" s="105" t="s">
        <v>26</v>
      </c>
      <c r="L39" s="107" t="n">
        <v>9</v>
      </c>
      <c r="M39" s="109" t="s">
        <v>55</v>
      </c>
      <c r="N39" s="107" t="s">
        <v>56</v>
      </c>
      <c r="O39" s="110" t="n">
        <v>43647</v>
      </c>
      <c r="P39" s="117" t="n">
        <v>899</v>
      </c>
      <c r="Q39" s="111" t="n">
        <v>700</v>
      </c>
      <c r="R39" s="112" t="str">
        <f aca="false">HYPERLINK("https://amzn.to/2Hv3AyB","link*")</f>
        <v>link*</v>
      </c>
      <c r="S39" s="112" t="str">
        <f aca="false">HYPERLINK("https://www.bhphotovideo.com/c/product/1461529-REG/tamron_a046_17_28mm_f_2_8_di_iii.html/BI/19619/KBID/12129/DFF/d10-v21-t1-x946694/SID/EZ","link*")</f>
        <v>link*</v>
      </c>
      <c r="T39" s="112" t="str">
        <f aca="false">HYPERLINK("https://amzn.to/2YkrkQB","link*")</f>
        <v>link*</v>
      </c>
      <c r="U39" s="112"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39" s="38"/>
    </row>
    <row r="40" customFormat="false" ht="15.75" hidden="true" customHeight="true" outlineLevel="0" collapsed="false">
      <c r="A40" s="128" t="str">
        <f aca="false">HYPERLINK("https://phillipreeve.net/blog/review-sigma-35mm-1-4-art/","Sigma Art 1.4/35")</f>
        <v>Sigma Art 1.4/35</v>
      </c>
      <c r="B40" s="81" t="n">
        <v>740</v>
      </c>
      <c r="C40" s="82" t="n">
        <v>35</v>
      </c>
      <c r="D40" s="83" t="n">
        <v>1.4</v>
      </c>
      <c r="E40" s="133" t="n">
        <v>77</v>
      </c>
      <c r="F40" s="134" t="n">
        <v>94</v>
      </c>
      <c r="G40" s="86" t="s">
        <v>30</v>
      </c>
      <c r="H40" s="87" t="s">
        <v>54</v>
      </c>
      <c r="I40" s="86" t="n">
        <v>0.19</v>
      </c>
      <c r="J40" s="145" t="n">
        <v>899</v>
      </c>
      <c r="K40" s="93" t="str">
        <f aca="false">HYPERLINK("https://amzn.to/2LOaQcZ","link*")</f>
        <v>link*</v>
      </c>
      <c r="L40" s="93" t="str">
        <f aca="false">HYPERLINK("https://www.bhphotovideo.com/c/product/1393492-REG/sigma_35mm_f_1_4_dg_hsm.html/BI/19619/KBID/12129/DFF/d10-v21-t1-x881157/SID/EZ","link*")</f>
        <v>link*</v>
      </c>
      <c r="M40" s="93" t="str">
        <f aca="false">HYPERLINK("https://amzn.to/2ZrfakE","link*")</f>
        <v>link*</v>
      </c>
      <c r="N40" s="93"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O40" s="88" t="n">
        <v>30</v>
      </c>
      <c r="P40" s="89" t="s">
        <v>26</v>
      </c>
      <c r="Q40" s="86" t="n">
        <v>9</v>
      </c>
      <c r="R40" s="122" t="n">
        <v>43782</v>
      </c>
      <c r="S40" s="86" t="s">
        <v>43</v>
      </c>
      <c r="T40" s="91" t="n">
        <v>43221</v>
      </c>
      <c r="U40" s="69" t="s">
        <v>260</v>
      </c>
    </row>
    <row r="41" customFormat="false" ht="15.75" hidden="true" customHeight="false" outlineLevel="0" collapsed="false">
      <c r="A41" s="80" t="s">
        <v>263</v>
      </c>
      <c r="B41" s="81" t="n">
        <v>280</v>
      </c>
      <c r="C41" s="82" t="n">
        <v>35</v>
      </c>
      <c r="D41" s="83" t="n">
        <v>1.8</v>
      </c>
      <c r="E41" s="133" t="n">
        <v>66</v>
      </c>
      <c r="F41" s="134" t="n">
        <v>73</v>
      </c>
      <c r="G41" s="86" t="s">
        <v>30</v>
      </c>
      <c r="H41" s="87" t="s">
        <v>78</v>
      </c>
      <c r="I41" s="389" t="n">
        <v>0.24</v>
      </c>
      <c r="J41" s="92" t="n">
        <v>749</v>
      </c>
      <c r="K41" s="94"/>
      <c r="L41" s="93" t="str">
        <f aca="false">HYPERLINK("https://www.bhphotovideo.com/c/product/1492866-REG/sony_sel35f18f_35mm_f_1_8_fe_lens.html/BI/19619/KBID/12129/DFF/d10-v21-t1-x975763/SID/EZ","link*")</f>
        <v>link*</v>
      </c>
      <c r="M41" s="93" t="str">
        <f aca="false">HYPERLINK("https://amzn.to/2PiATLC","link*")</f>
        <v>link*</v>
      </c>
      <c r="N41" s="93"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c r="O41" s="88" t="n">
        <v>22</v>
      </c>
      <c r="P41" s="89" t="s">
        <v>26</v>
      </c>
      <c r="Q41" s="86" t="n">
        <v>9</v>
      </c>
      <c r="R41" s="122" t="n">
        <v>43719</v>
      </c>
      <c r="S41" s="86" t="s">
        <v>32</v>
      </c>
      <c r="T41" s="91" t="n">
        <v>43647</v>
      </c>
    </row>
    <row r="42" customFormat="false" ht="15.75" hidden="true" customHeight="false" outlineLevel="0" collapsed="false">
      <c r="A42" s="113" t="str">
        <f aca="false">HYPERLINK("https://phillipreeve.net/blog/review-zeiss-batis-18mm-2-8/","Zeiss Batis 2.8/18")</f>
        <v>Zeiss Batis 2.8/18</v>
      </c>
      <c r="B42" s="40" t="n">
        <v>330</v>
      </c>
      <c r="C42" s="41" t="n">
        <v>18</v>
      </c>
      <c r="D42" s="42" t="n">
        <v>2.8</v>
      </c>
      <c r="E42" s="43" t="n">
        <v>100</v>
      </c>
      <c r="F42" s="44" t="n">
        <v>80</v>
      </c>
      <c r="G42" s="45" t="s">
        <v>30</v>
      </c>
      <c r="H42" s="46" t="s">
        <v>57</v>
      </c>
      <c r="I42" s="47" t="n">
        <v>0.1</v>
      </c>
      <c r="J42" s="48" t="n">
        <v>25</v>
      </c>
      <c r="K42" s="45" t="s">
        <v>26</v>
      </c>
      <c r="L42" s="47" t="n">
        <v>9</v>
      </c>
      <c r="M42" s="49" t="s">
        <v>58</v>
      </c>
      <c r="N42" s="47" t="s">
        <v>59</v>
      </c>
      <c r="O42" s="50" t="n">
        <v>42491</v>
      </c>
      <c r="P42" s="51" t="n">
        <v>1499</v>
      </c>
      <c r="Q42" s="51" t="n">
        <v>1000</v>
      </c>
      <c r="R42" s="52" t="str">
        <f aca="false">HYPERLINK("https://amzn.to/2SRFBhL","link*")</f>
        <v>link*</v>
      </c>
      <c r="S42" s="52" t="str">
        <f aca="false">HYPERLINK("https://www.bhphotovideo.com/c/product/1243591-REG/zeiss_2136_691_batis_18mm_f_2_8_lens.html/BI/19619/KBID/12129/DFF/d10-v21-t1-x727488/SID/EZ","link*")</f>
        <v>link*</v>
      </c>
      <c r="T42" s="52" t="str">
        <f aca="false">HYPERLINK("https://amzn.to/334PqNT","link*")</f>
        <v>link*</v>
      </c>
      <c r="U42" s="52"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43" customFormat="false" ht="15.75" hidden="true" customHeight="false" outlineLevel="0" collapsed="false">
      <c r="A43" s="128" t="str">
        <f aca="false">HYPERLINK("http://www.photozone.de/sonyalphaff/865-zeiss35f28ff","Sony ZA 2.8/35")</f>
        <v>Sony ZA 2.8/35</v>
      </c>
      <c r="B43" s="81" t="n">
        <v>120</v>
      </c>
      <c r="C43" s="82" t="n">
        <v>35</v>
      </c>
      <c r="D43" s="83" t="n">
        <v>2.8</v>
      </c>
      <c r="E43" s="133" t="n">
        <v>62</v>
      </c>
      <c r="F43" s="139" t="n">
        <v>37</v>
      </c>
      <c r="G43" s="86" t="s">
        <v>30</v>
      </c>
      <c r="H43" s="87" t="s">
        <v>80</v>
      </c>
      <c r="I43" s="86" t="n">
        <v>0.12</v>
      </c>
      <c r="J43" s="92" t="n">
        <v>798</v>
      </c>
      <c r="K43" s="93" t="str">
        <f aca="false">HYPERLINK("https://amzn.to/2yvhL24","link*")</f>
        <v>link*</v>
      </c>
      <c r="L43" s="93" t="str">
        <f aca="false">HYPERLINK("https://www.bhphotovideo.com/c/product/1008123-REG/sony_sel35f28z_sonnar_t_fe_35mm.html/BI/19619/KBID/12129/DFF/d10-v21-t1-x466840/SID/EZ","link*")</f>
        <v>link*</v>
      </c>
      <c r="M43" s="94" t="s">
        <v>33</v>
      </c>
      <c r="N43" s="93"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c r="O43" s="88" t="n">
        <v>35</v>
      </c>
      <c r="P43" s="89" t="s">
        <v>26</v>
      </c>
      <c r="Q43" s="86" t="n">
        <v>9</v>
      </c>
      <c r="R43" s="122" t="n">
        <v>43592</v>
      </c>
      <c r="S43" s="86" t="s">
        <v>32</v>
      </c>
      <c r="T43" s="91" t="n">
        <v>41487</v>
      </c>
    </row>
    <row r="44" customFormat="false" ht="15.75" hidden="true" customHeight="false" outlineLevel="0" collapsed="false">
      <c r="A44" s="80" t="s">
        <v>125</v>
      </c>
      <c r="B44" s="81" t="n">
        <v>86</v>
      </c>
      <c r="C44" s="82" t="n">
        <v>35</v>
      </c>
      <c r="D44" s="83" t="n">
        <v>2.8</v>
      </c>
      <c r="E44" s="133" t="n">
        <v>62</v>
      </c>
      <c r="F44" s="139" t="n">
        <v>33</v>
      </c>
      <c r="G44" s="86" t="s">
        <v>30</v>
      </c>
      <c r="H44" s="87" t="s">
        <v>80</v>
      </c>
      <c r="I44" s="86" t="n">
        <v>0.12</v>
      </c>
      <c r="J44" s="247" t="n">
        <v>399</v>
      </c>
      <c r="K44" s="93" t="str">
        <f aca="false">HYPERLINK("https://amzn.to/2MGKrxp","link*")</f>
        <v>link*</v>
      </c>
      <c r="L44" s="93" t="str">
        <f aca="false">HYPERLINK("https://www.bhphotovideo.com/c/product/1348365-REG/samyang_syio35af_e_35mm_f2_8_compact_wide.html/BI/19619/KBID/12129/DFF/d10-v21-t1-x832776/SID/EZ","link*")</f>
        <v>link*</v>
      </c>
      <c r="M44" s="94" t="s">
        <v>33</v>
      </c>
      <c r="N44" s="93"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O44" s="88" t="n">
        <v>35</v>
      </c>
      <c r="P44" s="89" t="s">
        <v>26</v>
      </c>
      <c r="Q44" s="86" t="n">
        <v>9</v>
      </c>
      <c r="R44" s="122" t="n">
        <v>43623</v>
      </c>
      <c r="S44" s="86" t="s">
        <v>47</v>
      </c>
      <c r="T44" s="91" t="n">
        <v>42917</v>
      </c>
    </row>
    <row r="45" customFormat="false" ht="15.75" hidden="true" customHeight="false" outlineLevel="0" collapsed="false">
      <c r="A45" s="95" t="s">
        <v>60</v>
      </c>
      <c r="B45" s="25" t="n">
        <v>145</v>
      </c>
      <c r="C45" s="26" t="n">
        <v>18</v>
      </c>
      <c r="D45" s="27" t="n">
        <v>2.8</v>
      </c>
      <c r="E45" s="96" t="n">
        <v>63.5</v>
      </c>
      <c r="F45" s="97" t="n">
        <v>60.5</v>
      </c>
      <c r="G45" s="30" t="s">
        <v>30</v>
      </c>
      <c r="H45" s="31" t="s">
        <v>48</v>
      </c>
      <c r="I45" s="32" t="n">
        <v>0.09</v>
      </c>
      <c r="J45" s="33" t="n">
        <v>25</v>
      </c>
      <c r="K45" s="30" t="s">
        <v>26</v>
      </c>
      <c r="L45" s="32" t="n">
        <v>7</v>
      </c>
      <c r="M45" s="34" t="s">
        <v>61</v>
      </c>
      <c r="N45" s="32" t="s">
        <v>47</v>
      </c>
      <c r="O45" s="35" t="n">
        <v>43723</v>
      </c>
      <c r="P45" s="36" t="n">
        <v>399</v>
      </c>
      <c r="Q45" s="36" t="n">
        <v>300</v>
      </c>
      <c r="R45" s="71"/>
      <c r="S45" s="37" t="str">
        <f aca="false">HYPERLINK("https://www.bhphotovideo.com/c/product/1503295-REG/samyang_syio18af_e_af_18mm_f_2_8_fe.html/BI/19619/KBID/12129/DFF/d10-v21-t1-x985623/SID/EZ","link*")</f>
        <v>link*</v>
      </c>
      <c r="T45" s="71"/>
      <c r="U45" s="71"/>
      <c r="V45" s="38"/>
    </row>
    <row r="46" customFormat="false" ht="15.75" hidden="true" customHeight="false" outlineLevel="0" collapsed="false">
      <c r="A46" s="128" t="str">
        <f aca="false">HYPERLINK("https://phillipreeve.net/blog/review-sigma-40mm-1-4-art/","Sigma Art 1.4/40")</f>
        <v>Sigma Art 1.4/40</v>
      </c>
      <c r="B46" s="81" t="n">
        <v>1200</v>
      </c>
      <c r="C46" s="82" t="n">
        <v>40</v>
      </c>
      <c r="D46" s="83" t="n">
        <v>1.4</v>
      </c>
      <c r="E46" s="133" t="n">
        <v>88</v>
      </c>
      <c r="F46" s="134" t="n">
        <v>157</v>
      </c>
      <c r="G46" s="86" t="s">
        <v>30</v>
      </c>
      <c r="H46" s="215" t="s">
        <v>52</v>
      </c>
      <c r="I46" s="86" t="n">
        <v>0.15</v>
      </c>
      <c r="J46" s="92" t="n">
        <v>1399</v>
      </c>
      <c r="K46" s="93" t="str">
        <f aca="false">HYPERLINK("https://amzn.to/2SYXFXq","link*")</f>
        <v>link*</v>
      </c>
      <c r="L46" s="93" t="str">
        <f aca="false">HYPERLINK("https://www.bhphotovideo.com/c/product/1436292-REG/sigma_40mm_f_1_4_dg_hsm.html/BI/19619/KBID/12129/DFF/d10-v21-t1-x925196/SID/EZ","link*")</f>
        <v>link*</v>
      </c>
      <c r="M46" s="94" t="s">
        <v>33</v>
      </c>
      <c r="N46" s="93"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O46" s="88" t="n">
        <v>40</v>
      </c>
      <c r="P46" s="89" t="s">
        <v>26</v>
      </c>
      <c r="Q46" s="86" t="n">
        <v>9</v>
      </c>
      <c r="R46" s="122" t="n">
        <v>43815</v>
      </c>
      <c r="S46" s="86" t="s">
        <v>43</v>
      </c>
      <c r="T46" s="91" t="n">
        <v>43435</v>
      </c>
      <c r="U46" s="69" t="s">
        <v>260</v>
      </c>
    </row>
    <row r="47" customFormat="false" ht="15.75" hidden="true" customHeight="false" outlineLevel="0" collapsed="false">
      <c r="A47" s="128" t="str">
        <f aca="false">HYPERLINK("https://phillipreeve.net/blog/review-zeiss-batis-2-40-cf/","Zeiss Batis 2/40 CF T*")</f>
        <v>Zeiss Batis 2/40 CF T*</v>
      </c>
      <c r="B47" s="81" t="n">
        <v>361</v>
      </c>
      <c r="C47" s="82" t="n">
        <v>40</v>
      </c>
      <c r="D47" s="83" t="n">
        <v>2</v>
      </c>
      <c r="E47" s="133" t="n">
        <v>91</v>
      </c>
      <c r="F47" s="134" t="n">
        <v>93</v>
      </c>
      <c r="G47" s="86" t="s">
        <v>30</v>
      </c>
      <c r="H47" s="87" t="s">
        <v>54</v>
      </c>
      <c r="I47" s="389" t="n">
        <v>0.3</v>
      </c>
      <c r="J47" s="92" t="n">
        <v>1299</v>
      </c>
      <c r="K47" s="93" t="str">
        <f aca="false">HYPERLINK("https://amzn.to/2LUN0MF","link*")</f>
        <v>link*</v>
      </c>
      <c r="L47" s="93" t="str">
        <f aca="false">HYPERLINK("https://www.bhphotovideo.com/c/product/1436738-REG/zeiss_000000_2239_137_batis_40mm_f_2_cf.html/BI/19619/KBID/12129/DFF/d10-v21-t1-x915694/SID/EZ","link*")</f>
        <v>link*</v>
      </c>
      <c r="M47" s="94" t="s">
        <v>33</v>
      </c>
      <c r="N47" s="93"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O47" s="88" t="n">
        <v>24</v>
      </c>
      <c r="P47" s="89" t="s">
        <v>26</v>
      </c>
      <c r="Q47" s="86" t="n">
        <v>9</v>
      </c>
      <c r="R47" s="122" t="n">
        <v>43686</v>
      </c>
      <c r="S47" s="86" t="s">
        <v>59</v>
      </c>
      <c r="T47" s="91" t="n">
        <v>43435</v>
      </c>
      <c r="U47" s="69" t="s">
        <v>264</v>
      </c>
    </row>
    <row r="48" customFormat="false" ht="15.75" hidden="true" customHeight="false" outlineLevel="0" collapsed="false">
      <c r="A48" s="80" t="s">
        <v>129</v>
      </c>
      <c r="B48" s="81" t="n">
        <v>162</v>
      </c>
      <c r="C48" s="82" t="n">
        <v>45</v>
      </c>
      <c r="D48" s="83" t="n">
        <v>1.8</v>
      </c>
      <c r="E48" s="133" t="n">
        <v>62</v>
      </c>
      <c r="F48" s="134" t="n">
        <v>56</v>
      </c>
      <c r="G48" s="86" t="s">
        <v>30</v>
      </c>
      <c r="H48" s="87" t="s">
        <v>80</v>
      </c>
      <c r="I48" s="86" t="n">
        <v>0.12</v>
      </c>
      <c r="J48" s="127" t="n">
        <v>399</v>
      </c>
      <c r="K48" s="93" t="str">
        <f aca="false">HYPERLINK("https://amzn.to/2YC6MST","link*")</f>
        <v>link*</v>
      </c>
      <c r="L48" s="93" t="str">
        <f aca="false">HYPERLINK("https://www.bhphotovideo.com/c/product/1478738-REG/samyang_af_45mm_f_1_8_fe.html/BI/19619/KBID/12129/DFF/d10-v21-t1-x964329/SID/EZ","link*")</f>
        <v>link*</v>
      </c>
      <c r="M48" s="94" t="s">
        <v>33</v>
      </c>
      <c r="N48" s="93"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c r="O48" s="88" t="n">
        <v>45</v>
      </c>
      <c r="P48" s="89" t="s">
        <v>26</v>
      </c>
      <c r="Q48" s="86" t="n">
        <v>9</v>
      </c>
      <c r="R48" s="122" t="n">
        <v>43623</v>
      </c>
      <c r="S48" s="86" t="s">
        <v>47</v>
      </c>
      <c r="T48" s="91" t="n">
        <v>43647</v>
      </c>
    </row>
    <row r="49" customFormat="false" ht="15.75" hidden="true" customHeight="false" outlineLevel="0" collapsed="false">
      <c r="A49" s="80" t="s">
        <v>130</v>
      </c>
      <c r="B49" s="81" t="n">
        <v>215</v>
      </c>
      <c r="C49" s="82" t="n">
        <v>45</v>
      </c>
      <c r="D49" s="83" t="n">
        <v>2.8</v>
      </c>
      <c r="E49" s="133" t="n">
        <v>64</v>
      </c>
      <c r="F49" s="139" t="n">
        <v>46</v>
      </c>
      <c r="G49" s="86" t="s">
        <v>30</v>
      </c>
      <c r="H49" s="87" t="s">
        <v>78</v>
      </c>
      <c r="I49" s="135" t="n">
        <v>0.25</v>
      </c>
      <c r="J49" s="92" t="n">
        <v>549</v>
      </c>
      <c r="K49" s="93" t="str">
        <f aca="false">HYPERLINK("https://amzn.to/2SYEvAX","link*")</f>
        <v>link*</v>
      </c>
      <c r="L49" s="93" t="str">
        <f aca="false">HYPERLINK("https://www.bhphotovideo.com/c/product/1492966-REG/sigma_360965_45mm_f_2_8_dg_dn.html/BI/19619/KBID/12129/DFF/d10-v21-t1-x976020/SID/EZ","link*")</f>
        <v>link*</v>
      </c>
      <c r="M49" s="94" t="s">
        <v>33</v>
      </c>
      <c r="N49" s="93"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O49" s="88" t="n">
        <v>24</v>
      </c>
      <c r="P49" s="89" t="s">
        <v>26</v>
      </c>
      <c r="Q49" s="86" t="n">
        <v>7</v>
      </c>
      <c r="R49" s="122" t="n">
        <v>43654</v>
      </c>
      <c r="S49" s="86" t="s">
        <v>43</v>
      </c>
      <c r="T49" s="91" t="n">
        <v>43647</v>
      </c>
      <c r="U49" s="69" t="s">
        <v>265</v>
      </c>
    </row>
    <row r="50" customFormat="false" ht="15.75" hidden="true" customHeight="false" outlineLevel="0" collapsed="false">
      <c r="A50" s="39" t="s">
        <v>62</v>
      </c>
      <c r="B50" s="40" t="n">
        <v>1050</v>
      </c>
      <c r="C50" s="41" t="n">
        <v>20</v>
      </c>
      <c r="D50" s="119" t="n">
        <v>1.4</v>
      </c>
      <c r="E50" s="43" t="n">
        <v>91</v>
      </c>
      <c r="F50" s="44" t="n">
        <v>155.8</v>
      </c>
      <c r="G50" s="47" t="s">
        <v>30</v>
      </c>
      <c r="H50" s="46" t="s">
        <v>25</v>
      </c>
      <c r="I50" s="47" t="n">
        <v>0.14</v>
      </c>
      <c r="J50" s="48" t="n">
        <v>28</v>
      </c>
      <c r="K50" s="45" t="s">
        <v>26</v>
      </c>
      <c r="L50" s="47" t="n">
        <v>9</v>
      </c>
      <c r="M50" s="79" t="n">
        <v>43784</v>
      </c>
      <c r="N50" s="47" t="s">
        <v>43</v>
      </c>
      <c r="O50" s="50" t="n">
        <v>43221</v>
      </c>
      <c r="P50" s="51" t="n">
        <v>899</v>
      </c>
      <c r="Q50" s="51" t="n">
        <v>700</v>
      </c>
      <c r="R50" s="52" t="str">
        <f aca="false">HYPERLINK("https://amzn.to/2K4J7nh","link*")</f>
        <v>link*</v>
      </c>
      <c r="S50" s="52" t="str">
        <f aca="false">HYPERLINK("https://www.bhphotovideo.com/c/product/1393490-REG/sigma_20mm_f_1_4_dg_hsm.html/BI/19619/KBID/12129/DFF/d10-v21-t1-x881155/SID/EZ","link*")</f>
        <v>link*</v>
      </c>
      <c r="T50" s="52" t="str">
        <f aca="false">HYPERLINK("https://amzn.to/2Wy0d3F","link*")</f>
        <v>link*</v>
      </c>
      <c r="U50" s="52"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V50" s="69" t="s">
        <v>260</v>
      </c>
    </row>
    <row r="51" customFormat="false" ht="15.75" hidden="true" customHeight="false" outlineLevel="0" collapsed="false">
      <c r="A51" s="80" t="s">
        <v>132</v>
      </c>
      <c r="B51" s="81" t="n">
        <v>778</v>
      </c>
      <c r="C51" s="82" t="n">
        <v>50</v>
      </c>
      <c r="D51" s="83" t="n">
        <v>1.4</v>
      </c>
      <c r="E51" s="133" t="n">
        <v>84</v>
      </c>
      <c r="F51" s="139" t="n">
        <v>108</v>
      </c>
      <c r="G51" s="86" t="s">
        <v>30</v>
      </c>
      <c r="H51" s="87" t="s">
        <v>49</v>
      </c>
      <c r="I51" s="86" t="n">
        <v>0.15</v>
      </c>
      <c r="J51" s="92" t="n">
        <v>1499</v>
      </c>
      <c r="K51" s="93" t="str">
        <f aca="false">HYPERLINK("https://amzn.to/2K88EL7","link*")</f>
        <v>link*</v>
      </c>
      <c r="L51" s="94" t="s">
        <v>33</v>
      </c>
      <c r="M51" s="94" t="s">
        <v>33</v>
      </c>
      <c r="N51" s="93"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c r="O51" s="88" t="n">
        <v>45</v>
      </c>
      <c r="P51" s="89" t="s">
        <v>26</v>
      </c>
      <c r="Q51" s="86" t="n">
        <v>11</v>
      </c>
      <c r="R51" s="122" t="n">
        <v>43720</v>
      </c>
      <c r="S51" s="86" t="s">
        <v>32</v>
      </c>
      <c r="T51" s="91" t="n">
        <v>42583</v>
      </c>
    </row>
    <row r="52" customFormat="false" ht="15.75" hidden="true" customHeight="false" outlineLevel="0" collapsed="false">
      <c r="A52" s="80" t="s">
        <v>133</v>
      </c>
      <c r="B52" s="81" t="n">
        <v>815</v>
      </c>
      <c r="C52" s="82" t="n">
        <v>50</v>
      </c>
      <c r="D52" s="83" t="n">
        <v>1.4</v>
      </c>
      <c r="E52" s="133" t="n">
        <v>85</v>
      </c>
      <c r="F52" s="139" t="n">
        <v>100</v>
      </c>
      <c r="G52" s="86" t="s">
        <v>30</v>
      </c>
      <c r="H52" s="87" t="s">
        <v>57</v>
      </c>
      <c r="I52" s="86" t="n">
        <v>0.18</v>
      </c>
      <c r="J52" s="92" t="n">
        <v>949</v>
      </c>
      <c r="K52" s="93" t="str">
        <f aca="false">HYPERLINK("https://amzn.to/2K4JmyT","link*")</f>
        <v>link*</v>
      </c>
      <c r="L52" s="93" t="str">
        <f aca="false">HYPERLINK("https://www.bhphotovideo.com/c/product/1393493-REG/sigma_50mm_f_1_4_dg_hsm.html/BI/19619/KBID/12129/kw/SI5014SO/DFF/d10-v2-t1-xSI5014SO","link*")</f>
        <v>link*</v>
      </c>
      <c r="M52" s="93" t="str">
        <f aca="false">HYPERLINK("https://amzn.to/2Wpdoz5","link*")</f>
        <v>link*</v>
      </c>
      <c r="N52" s="93" t="str">
        <f aca="false">HYPERLINK("http://rover.ebay.com/rover/1/711-53200-19255-0/1?icep_ff3=9&amp;pub=5575076376&amp;toolid=10001&amp;campid=5338164340&amp;customid=&amp;icep_uq=sony+50+1.4+za+-ssm&amp;icep_sellerId=&amp;icep_ex_kw=&amp;icep_sortBy=12&amp;icep_catId=3323&amp;icep_minPrice=&amp;icep_maxPrice=&amp;ipn=psmain&amp;icep_vector"&amp;"id=229466&amp;kwid=902099&amp;mtid=824&amp;kw=lg","link*")</f>
        <v>link*</v>
      </c>
      <c r="O52" s="88" t="n">
        <v>40</v>
      </c>
      <c r="P52" s="89" t="s">
        <v>26</v>
      </c>
      <c r="Q52" s="86" t="n">
        <v>9</v>
      </c>
      <c r="R52" s="122" t="n">
        <v>43690</v>
      </c>
      <c r="S52" s="86" t="s">
        <v>43</v>
      </c>
      <c r="T52" s="91" t="n">
        <v>43221</v>
      </c>
      <c r="U52" s="69" t="s">
        <v>260</v>
      </c>
    </row>
    <row r="53" customFormat="false" ht="15.75" hidden="true" customHeight="false" outlineLevel="0" collapsed="false">
      <c r="A53" s="80" t="s">
        <v>134</v>
      </c>
      <c r="B53" s="81" t="n">
        <v>585</v>
      </c>
      <c r="C53" s="82" t="n">
        <v>50</v>
      </c>
      <c r="D53" s="83" t="n">
        <v>1.4</v>
      </c>
      <c r="E53" s="133" t="n">
        <v>74</v>
      </c>
      <c r="F53" s="139" t="n">
        <v>98</v>
      </c>
      <c r="G53" s="86" t="s">
        <v>30</v>
      </c>
      <c r="H53" s="87" t="s">
        <v>54</v>
      </c>
      <c r="I53" s="86" t="n">
        <v>0.15</v>
      </c>
      <c r="J53" s="92" t="n">
        <v>699</v>
      </c>
      <c r="K53" s="93" t="str">
        <f aca="false">HYPERLINK("https://amzn.to/2SY1Pyr","link*")</f>
        <v>link*</v>
      </c>
      <c r="L53" s="93" t="str">
        <f aca="false">HYPERLINK("https://www.bhphotovideo.com/c/product/1352862-REG/samyang_syio50af_e_50mm_f_1_4_auto_focus.html/BI/19619/KBID/12129/DFF/d10-v21-t1-x837927/SID/EZ","link*")</f>
        <v>link*</v>
      </c>
      <c r="M53" s="94" t="s">
        <v>33</v>
      </c>
      <c r="N53" s="93"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c r="O53" s="88" t="n">
        <v>45</v>
      </c>
      <c r="P53" s="89" t="s">
        <v>26</v>
      </c>
      <c r="Q53" s="86" t="n">
        <v>9</v>
      </c>
      <c r="R53" s="122" t="n">
        <v>43686</v>
      </c>
      <c r="S53" s="86" t="s">
        <v>47</v>
      </c>
      <c r="T53" s="91" t="n">
        <v>42583</v>
      </c>
    </row>
    <row r="54" customFormat="false" ht="15.75" hidden="true" customHeight="false" outlineLevel="0" collapsed="false">
      <c r="A54" s="128" t="str">
        <f aca="false">HYPERLINK("https://phillipreeve.net/blog/review-sony-fe-1-850/","Sony 50mm F1.8")</f>
        <v>Sony 50mm F1.8</v>
      </c>
      <c r="B54" s="81" t="n">
        <v>186</v>
      </c>
      <c r="C54" s="82" t="n">
        <v>50</v>
      </c>
      <c r="D54" s="83" t="n">
        <v>1.8</v>
      </c>
      <c r="E54" s="133" t="n">
        <v>69</v>
      </c>
      <c r="F54" s="139" t="n">
        <v>60</v>
      </c>
      <c r="G54" s="86" t="s">
        <v>30</v>
      </c>
      <c r="H54" s="87" t="s">
        <v>80</v>
      </c>
      <c r="I54" s="86" t="n">
        <v>0.14</v>
      </c>
      <c r="J54" s="145" t="n">
        <v>249</v>
      </c>
      <c r="K54" s="93" t="str">
        <f aca="false">HYPERLINK("http://amzn.to/2v2F5Se","link*")</f>
        <v>link*</v>
      </c>
      <c r="L54" s="93" t="str">
        <f aca="false">HYPERLINK("https://www.bhphotovideo.com/c/product/1242613-REG/sony_sel50f18f_fe_50mm_f_1_8_lens.html/BI/19619/KBID/12129/kw/SO5018F/DFF/d10-v2-t1-xSO5018F","link*")</f>
        <v>link*</v>
      </c>
      <c r="M54" s="93" t="str">
        <f aca="false">HYPERLINK("http://amzn.to/2wyHB25","link*")</f>
        <v>link*</v>
      </c>
      <c r="N54" s="93"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c r="O54" s="88" t="n">
        <v>45</v>
      </c>
      <c r="P54" s="89" t="s">
        <v>26</v>
      </c>
      <c r="Q54" s="86" t="n">
        <v>7</v>
      </c>
      <c r="R54" s="122" t="n">
        <v>43591</v>
      </c>
      <c r="S54" s="86" t="s">
        <v>32</v>
      </c>
      <c r="T54" s="91" t="n">
        <v>42430</v>
      </c>
    </row>
    <row r="55" customFormat="false" ht="15.75" hidden="false" customHeight="false" outlineLevel="0" collapsed="false">
      <c r="A55" s="24" t="str">
        <f aca="false">HYPERLINK("https://phillipreeve.net/blog/review-voigtlander-12mm-5-6-aspherical-ultra-wide-heliar/","Voigtlander 12mm F5.6 Ultra Wide-Heliar Aspherical")</f>
        <v>Voigtlander 12mm F5.6 Ultra Wide-Heliar Aspherical</v>
      </c>
      <c r="B55" s="25" t="n">
        <v>350</v>
      </c>
      <c r="C55" s="26" t="n">
        <v>12</v>
      </c>
      <c r="D55" s="27" t="n">
        <v>5.6</v>
      </c>
      <c r="E55" s="70" t="n">
        <v>67</v>
      </c>
      <c r="F55" s="29" t="n">
        <v>68</v>
      </c>
      <c r="G55" s="30" t="s">
        <v>24</v>
      </c>
      <c r="H55" s="31" t="s">
        <v>25</v>
      </c>
      <c r="I55" s="32"/>
      <c r="J55" s="33" t="n">
        <v>30</v>
      </c>
      <c r="K55" s="30" t="s">
        <v>26</v>
      </c>
      <c r="L55" s="32" t="n">
        <v>10</v>
      </c>
      <c r="M55" s="34" t="s">
        <v>38</v>
      </c>
      <c r="N55" s="32" t="s">
        <v>28</v>
      </c>
      <c r="O55" s="35" t="n">
        <v>42583</v>
      </c>
      <c r="P55" s="36" t="n">
        <v>749</v>
      </c>
      <c r="Q55" s="36" t="s">
        <v>36</v>
      </c>
      <c r="R55" s="71"/>
      <c r="S55" s="71"/>
      <c r="T55" s="71"/>
      <c r="U55" s="37"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V55" s="38" t="s">
        <v>39</v>
      </c>
    </row>
    <row r="56" customFormat="false" ht="15.75" hidden="true" customHeight="false" outlineLevel="0" collapsed="false">
      <c r="A56" s="128" t="str">
        <f aca="false">HYPERLINK("https://phillipreeve.net/blog/rolling-review-sony-fe-2-850-macro/","Sony 50mm F/2.8 Macro")</f>
        <v>Sony 50mm F/2.8 Macro</v>
      </c>
      <c r="B56" s="81" t="n">
        <v>236</v>
      </c>
      <c r="C56" s="82" t="n">
        <v>50</v>
      </c>
      <c r="D56" s="83" t="n">
        <v>1.8</v>
      </c>
      <c r="E56" s="133" t="n">
        <v>72</v>
      </c>
      <c r="F56" s="139" t="n">
        <v>71</v>
      </c>
      <c r="G56" s="86" t="s">
        <v>30</v>
      </c>
      <c r="H56" s="87" t="s">
        <v>78</v>
      </c>
      <c r="I56" s="280" t="n">
        <v>1</v>
      </c>
      <c r="J56" s="127" t="n">
        <v>499</v>
      </c>
      <c r="K56" s="93" t="str">
        <f aca="false">HYPERLINK("http://amzn.to/2v2g0qz","link*")</f>
        <v>link*</v>
      </c>
      <c r="L56" s="93" t="str">
        <f aca="false">HYPERLINK("https://www.bhphotovideo.com/c/product/1277527-REG/sony_sel50m28_fe_50mm_f_2_8_macro.html/BI/19619/KBID/12129/kw/SO5028FF/DFF/d10-v2-t1-xSO5028FF","link*")</f>
        <v>link*</v>
      </c>
      <c r="M56" s="93" t="str">
        <f aca="false">HYPERLINK("http://amzn.to/2vbknRN","link*")</f>
        <v>link*</v>
      </c>
      <c r="N56" s="93"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O56" s="88" t="n">
        <v>16</v>
      </c>
      <c r="P56" s="89" t="s">
        <v>26</v>
      </c>
      <c r="Q56" s="86" t="n">
        <v>7</v>
      </c>
      <c r="R56" s="122" t="n">
        <v>43654</v>
      </c>
      <c r="S56" s="86" t="s">
        <v>32</v>
      </c>
      <c r="T56" s="91" t="n">
        <v>42614</v>
      </c>
    </row>
    <row r="57" customFormat="false" ht="15.75" hidden="true" customHeight="false" outlineLevel="0" collapsed="false">
      <c r="A57" s="128" t="str">
        <f aca="false">HYPERLINK("https://phillipreeve.net/blog/sony-fe-1-855-za-sonnar-t-review/","Sony ZA 55mm F1.8 Sonnar")</f>
        <v>Sony ZA 55mm F1.8 Sonnar</v>
      </c>
      <c r="B57" s="81" t="n">
        <v>281</v>
      </c>
      <c r="C57" s="82" t="n">
        <v>55</v>
      </c>
      <c r="D57" s="83" t="n">
        <v>1.8</v>
      </c>
      <c r="E57" s="133" t="n">
        <v>64</v>
      </c>
      <c r="F57" s="139" t="n">
        <v>71</v>
      </c>
      <c r="G57" s="86" t="s">
        <v>30</v>
      </c>
      <c r="H57" s="87" t="s">
        <v>80</v>
      </c>
      <c r="I57" s="86" t="n">
        <v>0.14</v>
      </c>
      <c r="J57" s="92" t="n">
        <v>999</v>
      </c>
      <c r="K57" s="93" t="str">
        <f aca="false">HYPERLINK("https://amzn.to/2ywdgEk","link*")</f>
        <v>link*</v>
      </c>
      <c r="L57" s="93" t="str">
        <f aca="false">HYPERLINK("https://www.bhphotovideo.com/c/product/1008124-REG/sony_sel55f18z_sonnar_t_fe_55mm.html/BI/19619/KBID/12129/DFF/d10-v21-t1-x466841/SID/EZ","link*")</f>
        <v>link*</v>
      </c>
      <c r="M57" s="94" t="s">
        <v>33</v>
      </c>
      <c r="N57" s="93"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O57" s="88" t="n">
        <v>50</v>
      </c>
      <c r="P57" s="89" t="s">
        <v>26</v>
      </c>
      <c r="Q57" s="86" t="n">
        <v>9</v>
      </c>
      <c r="R57" s="122" t="n">
        <v>43592</v>
      </c>
      <c r="S57" s="86" t="s">
        <v>32</v>
      </c>
      <c r="T57" s="91" t="n">
        <v>41548</v>
      </c>
    </row>
    <row r="58" customFormat="false" ht="15.75" hidden="true" customHeight="false" outlineLevel="0" collapsed="false">
      <c r="A58" s="39" t="s">
        <v>42</v>
      </c>
      <c r="B58" s="40" t="n">
        <v>1220</v>
      </c>
      <c r="C58" s="41" t="n">
        <v>14</v>
      </c>
      <c r="D58" s="76" t="n">
        <v>1.8</v>
      </c>
      <c r="E58" s="77" t="n">
        <v>95</v>
      </c>
      <c r="F58" s="78" t="n">
        <v>152</v>
      </c>
      <c r="G58" s="47" t="s">
        <v>30</v>
      </c>
      <c r="H58" s="46" t="s">
        <v>25</v>
      </c>
      <c r="I58" s="47" t="n">
        <v>0.1</v>
      </c>
      <c r="J58" s="48" t="n">
        <v>27</v>
      </c>
      <c r="K58" s="45" t="s">
        <v>26</v>
      </c>
      <c r="L58" s="47" t="n">
        <v>9</v>
      </c>
      <c r="M58" s="79" t="n">
        <v>43785</v>
      </c>
      <c r="N58" s="47" t="s">
        <v>43</v>
      </c>
      <c r="O58" s="50" t="n">
        <v>43221</v>
      </c>
      <c r="P58" s="51" t="n">
        <v>1599</v>
      </c>
      <c r="Q58" s="51" t="n">
        <v>950</v>
      </c>
      <c r="R58" s="52" t="str">
        <f aca="false">HYPERLINK("https://amzn.to/2SOWTvV","link*")</f>
        <v>link*</v>
      </c>
      <c r="S58" s="52" t="str">
        <f aca="false">HYPERLINK("https://www.bhphotovideo.com/c/product/1393489-REG/sigma_14mm_f_1_8_dg_hsm.html/BI/19619/KBID/12129/DFF/d10-v21-t1-x881154/SID/EZ","link*")</f>
        <v>link*</v>
      </c>
      <c r="T58" s="52" t="str">
        <f aca="false">HYPERLINK("https://amzn.to/2ZDl4QJ","link*")</f>
        <v>link*</v>
      </c>
      <c r="U58" s="52"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row>
    <row r="59" customFormat="false" ht="15.75" hidden="true" customHeight="false" outlineLevel="0" collapsed="false">
      <c r="A59" s="80" t="s">
        <v>137</v>
      </c>
      <c r="B59" s="81" t="n">
        <v>562</v>
      </c>
      <c r="C59" s="82" t="n">
        <v>70</v>
      </c>
      <c r="D59" s="83" t="n">
        <v>2.8</v>
      </c>
      <c r="E59" s="133" t="n">
        <v>71</v>
      </c>
      <c r="F59" s="139" t="n">
        <v>106</v>
      </c>
      <c r="G59" s="86" t="s">
        <v>30</v>
      </c>
      <c r="H59" s="87" t="s">
        <v>80</v>
      </c>
      <c r="I59" s="280" t="n">
        <v>1</v>
      </c>
      <c r="J59" s="247" t="n">
        <v>569</v>
      </c>
      <c r="K59" s="93" t="str">
        <f aca="false">HYPERLINK("https://amzn.to/2YGO9te","link*")</f>
        <v>link*</v>
      </c>
      <c r="L59" s="93" t="str">
        <f aca="false">HYPERLINK("https://www.bhphotovideo.com/c/product/1393483-REG/sigma_70mm_f_2_8_dg_macro.html/BI/19619/KBID/12129/DFF/d10-v21-t1-x895111/SID/EZ","link*")</f>
        <v>link*</v>
      </c>
      <c r="M59" s="94" t="s">
        <v>33</v>
      </c>
      <c r="N59" s="93"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O59" s="88" t="n">
        <v>26</v>
      </c>
      <c r="P59" s="89" t="s">
        <v>26</v>
      </c>
      <c r="Q59" s="86" t="n">
        <v>9</v>
      </c>
      <c r="R59" s="122" t="n">
        <v>43751</v>
      </c>
      <c r="S59" s="86" t="s">
        <v>43</v>
      </c>
      <c r="T59" s="91" t="n">
        <v>43221</v>
      </c>
      <c r="U59" s="69" t="s">
        <v>260</v>
      </c>
    </row>
    <row r="60" customFormat="false" ht="15.75" hidden="true" customHeight="false" outlineLevel="0" collapsed="false">
      <c r="A60" s="80" t="s">
        <v>266</v>
      </c>
      <c r="B60" s="81" t="n">
        <v>1480</v>
      </c>
      <c r="C60" s="82" t="n">
        <v>70</v>
      </c>
      <c r="D60" s="83" t="n">
        <v>2.8</v>
      </c>
      <c r="E60" s="133" t="n">
        <v>88</v>
      </c>
      <c r="F60" s="139" t="n">
        <v>200</v>
      </c>
      <c r="G60" s="86" t="s">
        <v>30</v>
      </c>
      <c r="H60" s="87" t="s">
        <v>57</v>
      </c>
      <c r="I60" s="389" t="n">
        <v>0.25</v>
      </c>
      <c r="J60" s="92" t="n">
        <v>2599</v>
      </c>
      <c r="K60" s="93" t="str">
        <f aca="false">HYPERLINK("https://amzn.to/2KbaJGn","link*")</f>
        <v>link*</v>
      </c>
      <c r="L60" s="93" t="str">
        <f aca="false">HYPERLINK("https://www.bhphotovideo.com/c/product/1222776-REG/sony_sel70200gm_fe_70_200mm_f_2_8_gm.html/BI/19619/KBID/12129/DFF/d10-v21-t1-x746807/SID/EZ","link*")</f>
        <v>link*</v>
      </c>
      <c r="M60" s="94" t="s">
        <v>33</v>
      </c>
      <c r="N60" s="93"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c r="O60" s="88" t="n">
        <v>96</v>
      </c>
      <c r="P60" s="174" t="s">
        <v>50</v>
      </c>
      <c r="Q60" s="86" t="n">
        <v>11</v>
      </c>
      <c r="R60" s="90" t="s">
        <v>139</v>
      </c>
      <c r="S60" s="86" t="s">
        <v>32</v>
      </c>
      <c r="T60" s="91" t="n">
        <v>42401</v>
      </c>
    </row>
    <row r="61" customFormat="false" ht="15.75" hidden="true" customHeight="false" outlineLevel="0" collapsed="false">
      <c r="A61" s="80" t="s">
        <v>143</v>
      </c>
      <c r="B61" s="81" t="n">
        <v>854</v>
      </c>
      <c r="C61" s="82" t="n">
        <v>70</v>
      </c>
      <c r="D61" s="83" t="s">
        <v>144</v>
      </c>
      <c r="E61" s="133" t="n">
        <v>84</v>
      </c>
      <c r="F61" s="139" t="n">
        <v>144</v>
      </c>
      <c r="G61" s="86" t="s">
        <v>30</v>
      </c>
      <c r="H61" s="87" t="s">
        <v>49</v>
      </c>
      <c r="I61" s="135" t="n">
        <v>0.31</v>
      </c>
      <c r="J61" s="92" t="n">
        <v>1198</v>
      </c>
      <c r="K61" s="93" t="str">
        <f aca="false">HYPERLINK("https://amzn.to/2SVN1Ao","link*")</f>
        <v>link*</v>
      </c>
      <c r="L61" s="93" t="str">
        <f aca="false">HYPERLINK("https://www.bhphotovideo.com/c/product/1242614-REG/sony_sel70300g_fe_70_300mm_f_4_5_5_6_g.html/BI/19619/KBID/12129/DFF/d10-v21-t1-x722726/SID/EZ","link*")</f>
        <v>link*</v>
      </c>
      <c r="M61" s="94" t="s">
        <v>33</v>
      </c>
      <c r="N61" s="93"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c r="O61" s="88" t="n">
        <v>90</v>
      </c>
      <c r="P61" s="174" t="s">
        <v>50</v>
      </c>
      <c r="Q61" s="86" t="n">
        <v>9</v>
      </c>
      <c r="R61" s="90" t="s">
        <v>53</v>
      </c>
      <c r="S61" s="86" t="s">
        <v>32</v>
      </c>
      <c r="T61" s="91" t="n">
        <v>42430</v>
      </c>
    </row>
    <row r="62" customFormat="false" ht="15.75" hidden="true" customHeight="false" outlineLevel="0" collapsed="false">
      <c r="A62" s="128" t="str">
        <f aca="false">HYPERLINK("https://phillipreeve.net/blog/review-sony-fe-470-200-g-oss/https://phillipreeve.net/blog/review-sony-fe-470-200-g-oss/","Sony G 4/70-200 OSS")</f>
        <v>Sony G 4/70-200 OSS</v>
      </c>
      <c r="B62" s="81" t="n">
        <v>840</v>
      </c>
      <c r="C62" s="82" t="n">
        <v>70</v>
      </c>
      <c r="D62" s="83" t="n">
        <v>4</v>
      </c>
      <c r="E62" s="133" t="n">
        <v>80</v>
      </c>
      <c r="F62" s="139" t="n">
        <v>175</v>
      </c>
      <c r="G62" s="86" t="s">
        <v>30</v>
      </c>
      <c r="H62" s="87" t="s">
        <v>49</v>
      </c>
      <c r="I62" s="86" t="n">
        <v>0.18</v>
      </c>
      <c r="J62" s="92" t="n">
        <v>1498</v>
      </c>
      <c r="K62" s="93" t="str">
        <f aca="false">HYPERLINK("http://amzn.to/2fbeX3x","link*")</f>
        <v>link*</v>
      </c>
      <c r="L62" s="93" t="str">
        <f aca="false">HYPERLINK("https://www.bhphotovideo.com/c/product/1380865-REG/sony_fe_70_200mm_f_4_g.html/BI/19619/KBID/12129/kw/SO702004F/DFF/d10-v2-t1-xSO702004F","link*")</f>
        <v>link*</v>
      </c>
      <c r="M62" s="93" t="str">
        <f aca="false">HYPERLINK("http://amzn.to/2vbFQKj","link*")</f>
        <v>link*</v>
      </c>
      <c r="N62" s="93"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O62" s="88" t="n">
        <v>100</v>
      </c>
      <c r="P62" s="174" t="s">
        <v>50</v>
      </c>
      <c r="Q62" s="86" t="n">
        <v>9</v>
      </c>
      <c r="R62" s="90" t="s">
        <v>124</v>
      </c>
      <c r="S62" s="86" t="s">
        <v>32</v>
      </c>
      <c r="T62" s="91" t="n">
        <v>41548</v>
      </c>
    </row>
    <row r="63" customFormat="false" ht="15.75" hidden="true" customHeight="false" outlineLevel="0" collapsed="false">
      <c r="A63" s="128" t="str">
        <f aca="false">HYPERLINK("https://phillipreeve.net/blog/review-sony-fe-85mm-1-4-gm/","Sony GM 1.4/85")</f>
        <v>Sony GM 1.4/85</v>
      </c>
      <c r="B63" s="81" t="n">
        <v>854</v>
      </c>
      <c r="C63" s="82" t="n">
        <v>85</v>
      </c>
      <c r="D63" s="83" t="n">
        <v>1.4</v>
      </c>
      <c r="E63" s="133" t="n">
        <v>84</v>
      </c>
      <c r="F63" s="139" t="n">
        <v>108</v>
      </c>
      <c r="G63" s="86" t="s">
        <v>30</v>
      </c>
      <c r="H63" s="87" t="s">
        <v>57</v>
      </c>
      <c r="I63" s="86" t="n">
        <v>0.12</v>
      </c>
      <c r="J63" s="92" t="n">
        <v>1799</v>
      </c>
      <c r="K63" s="93" t="str">
        <f aca="false">HYPERLINK("https://amzn.to/2SZeKAh","link*")</f>
        <v>link*</v>
      </c>
      <c r="L63" s="93" t="str">
        <f aca="false">HYPERLINK("https://www.bhphotovideo.com/c/product/1222775-REG/sony_sel85f14gm_fe_85mm_f_1_4_gm.html/BI/19619/KBID/12129/DFF/d10-v21-t1-x707644/SID/EZ","link*")</f>
        <v>link*</v>
      </c>
      <c r="M63" s="94" t="s">
        <v>33</v>
      </c>
      <c r="N63" s="93"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c r="O63" s="88" t="n">
        <v>80</v>
      </c>
      <c r="P63" s="89" t="s">
        <v>26</v>
      </c>
      <c r="Q63" s="86" t="n">
        <v>11</v>
      </c>
      <c r="R63" s="122" t="n">
        <v>43688</v>
      </c>
      <c r="S63" s="86" t="s">
        <v>32</v>
      </c>
      <c r="T63" s="91" t="n">
        <v>42401</v>
      </c>
    </row>
    <row r="64" customFormat="false" ht="15.75" hidden="true" customHeight="false" outlineLevel="0" collapsed="false">
      <c r="A64" s="80" t="s">
        <v>147</v>
      </c>
      <c r="B64" s="81" t="n">
        <v>1130</v>
      </c>
      <c r="C64" s="82" t="n">
        <v>85</v>
      </c>
      <c r="D64" s="83" t="n">
        <v>1.4</v>
      </c>
      <c r="E64" s="133" t="n">
        <v>95</v>
      </c>
      <c r="F64" s="139" t="n">
        <v>152</v>
      </c>
      <c r="G64" s="86" t="s">
        <v>30</v>
      </c>
      <c r="H64" s="257" t="s">
        <v>148</v>
      </c>
      <c r="I64" s="86" t="n">
        <v>0.12</v>
      </c>
      <c r="J64" s="92" t="n">
        <v>1199</v>
      </c>
      <c r="K64" s="93" t="str">
        <f aca="false">HYPERLINK("https://amzn.to/2MBd68k","link*")</f>
        <v>link*</v>
      </c>
      <c r="L64" s="93" t="str">
        <f aca="false">HYPERLINK("https://www.bhphotovideo.com/c/product/1393494-REG/sigma_85mm_f_1_4_dg_hsm.html/BI/19619/KBID/12129/kw/SI8514SO/DFF/d10-v2-t1-xSI8514SO","link*")</f>
        <v>link*</v>
      </c>
      <c r="M64" s="93" t="str">
        <f aca="false">HYPERLINK("https://amzn.to/2Wto6JH","link*")</f>
        <v>link*</v>
      </c>
      <c r="N64" s="93"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O64" s="88" t="n">
        <v>85</v>
      </c>
      <c r="P64" s="89" t="s">
        <v>26</v>
      </c>
      <c r="Q64" s="86" t="n">
        <v>9</v>
      </c>
      <c r="R64" s="122" t="n">
        <v>43724</v>
      </c>
      <c r="S64" s="86" t="s">
        <v>43</v>
      </c>
      <c r="T64" s="91" t="n">
        <v>43221</v>
      </c>
      <c r="U64" s="69" t="s">
        <v>260</v>
      </c>
    </row>
    <row r="65" customFormat="false" ht="15.75" hidden="true" customHeight="false" outlineLevel="0" collapsed="false">
      <c r="A65" s="80" t="s">
        <v>149</v>
      </c>
      <c r="B65" s="81" t="n">
        <v>568</v>
      </c>
      <c r="C65" s="82" t="n">
        <v>85</v>
      </c>
      <c r="D65" s="83" t="n">
        <v>1.4</v>
      </c>
      <c r="E65" s="133" t="n">
        <v>88</v>
      </c>
      <c r="F65" s="139" t="n">
        <v>100</v>
      </c>
      <c r="G65" s="86" t="s">
        <v>30</v>
      </c>
      <c r="H65" s="87" t="s">
        <v>57</v>
      </c>
      <c r="I65" s="86" t="n">
        <v>0.11</v>
      </c>
      <c r="J65" s="145" t="n">
        <v>699</v>
      </c>
      <c r="K65" s="93" t="str">
        <f aca="false">HYPERLINK("https://amzn.to/2T0yJ1A","link*")</f>
        <v>link*</v>
      </c>
      <c r="L65" s="93" t="str">
        <f aca="false">HYPERLINK("https://www.bhphotovideo.com/c/product/1470654-REG/samyang_syio85af_e_af_85mm_f_1_4_lens.html/BI/19619/KBID/12129/DFF/d10-v21-t1-x955078/SID/EZ","link*")</f>
        <v>link*</v>
      </c>
      <c r="M65" s="94" t="s">
        <v>33</v>
      </c>
      <c r="N65" s="93"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c r="O65" s="88" t="n">
        <v>90</v>
      </c>
      <c r="P65" s="89" t="s">
        <v>26</v>
      </c>
      <c r="Q65" s="86" t="n">
        <v>9</v>
      </c>
      <c r="R65" s="122" t="n">
        <v>43688</v>
      </c>
      <c r="S65" s="86" t="s">
        <v>47</v>
      </c>
      <c r="T65" s="91" t="n">
        <v>43586</v>
      </c>
    </row>
    <row r="66" customFormat="false" ht="15.75" hidden="true" customHeight="false" outlineLevel="0" collapsed="false">
      <c r="A66" s="128" t="str">
        <f aca="false">HYPERLINK("https://phillipreeve.net/blog/review-sony-fe-85-mm-1-8/","Sony FE 85mm f/1.8")</f>
        <v>Sony FE 85mm f/1.8</v>
      </c>
      <c r="B66" s="81" t="n">
        <v>371</v>
      </c>
      <c r="C66" s="82" t="n">
        <v>85</v>
      </c>
      <c r="D66" s="83" t="n">
        <v>1.8</v>
      </c>
      <c r="E66" s="133" t="n">
        <v>77</v>
      </c>
      <c r="F66" s="139" t="n">
        <v>82</v>
      </c>
      <c r="G66" s="86" t="s">
        <v>30</v>
      </c>
      <c r="H66" s="87" t="s">
        <v>54</v>
      </c>
      <c r="I66" s="86" t="n">
        <v>0.13</v>
      </c>
      <c r="J66" s="145" t="n">
        <v>599</v>
      </c>
      <c r="K66" s="93" t="str">
        <f aca="false">HYPERLINK("https://amzn.to/2YB4RxU","link*")</f>
        <v>link*</v>
      </c>
      <c r="L66" s="93" t="str">
        <f aca="false">HYPERLINK("https://www.bhphotovideo.com/c/product/1140833-REG/zeiss_2103_751_85mm_f_1_8_batis_short.html/BI/19619/KBID/12129/DFF/d10-v21-t1-x627139/SID/EZ","link*")</f>
        <v>link*</v>
      </c>
      <c r="M66" s="94" t="s">
        <v>33</v>
      </c>
      <c r="N66" s="93"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c r="O66" s="88" t="n">
        <v>80</v>
      </c>
      <c r="P66" s="89" t="s">
        <v>26</v>
      </c>
      <c r="Q66" s="86" t="n">
        <v>9</v>
      </c>
      <c r="R66" s="122" t="n">
        <v>43686</v>
      </c>
      <c r="S66" s="86" t="s">
        <v>32</v>
      </c>
      <c r="T66" s="91" t="n">
        <v>42767</v>
      </c>
    </row>
    <row r="67" customFormat="false" ht="15.75" hidden="true" customHeight="false" outlineLevel="0" collapsed="false">
      <c r="A67" s="128" t="str">
        <f aca="false">HYPERLINK("https://phillipreeve.net/blog/zeiss-batis-sonnar-t-85mm-f1-8-a-review/","Zeiss Batis 1.8/85")</f>
        <v>Zeiss Batis 1.8/85</v>
      </c>
      <c r="B67" s="81" t="n">
        <v>475</v>
      </c>
      <c r="C67" s="82" t="n">
        <v>85</v>
      </c>
      <c r="D67" s="83" t="n">
        <v>1.8</v>
      </c>
      <c r="E67" s="133" t="n">
        <v>92</v>
      </c>
      <c r="F67" s="139" t="n">
        <v>81</v>
      </c>
      <c r="G67" s="86" t="s">
        <v>30</v>
      </c>
      <c r="H67" s="87" t="s">
        <v>54</v>
      </c>
      <c r="I67" s="86" t="n">
        <v>0.13</v>
      </c>
      <c r="J67" s="92" t="n">
        <v>1199</v>
      </c>
      <c r="K67" s="93" t="str">
        <f aca="false">HYPERLINK("https://amzn.to/2T8oWqt","link*")</f>
        <v>link*</v>
      </c>
      <c r="L67" s="93" t="str">
        <f aca="false">HYPERLINK("https://www.bhphotovideo.com/c/product/1140833-REG/zeiss_2103_751_85mm_f_1_8_batis_short.html/BI/19619/KBID/12129/DFF/d10-v21-t1-x627139/SID/EZ","link*")</f>
        <v>link*</v>
      </c>
      <c r="M67" s="94" t="s">
        <v>33</v>
      </c>
      <c r="N67" s="93"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c r="O67" s="88" t="n">
        <v>80</v>
      </c>
      <c r="P67" s="174" t="s">
        <v>50</v>
      </c>
      <c r="Q67" s="86" t="n">
        <v>9</v>
      </c>
      <c r="R67" s="122" t="n">
        <v>43688</v>
      </c>
      <c r="S67" s="86" t="s">
        <v>59</v>
      </c>
      <c r="T67" s="91" t="n">
        <v>42125</v>
      </c>
    </row>
    <row r="68" customFormat="false" ht="15.75" hidden="true" customHeight="false" outlineLevel="0" collapsed="false">
      <c r="A68" s="95" t="s">
        <v>69</v>
      </c>
      <c r="B68" s="25" t="n">
        <v>464</v>
      </c>
      <c r="C68" s="26" t="n">
        <v>20</v>
      </c>
      <c r="D68" s="129" t="n">
        <v>2</v>
      </c>
      <c r="E68" s="130" t="n">
        <v>73</v>
      </c>
      <c r="F68" s="131" t="n">
        <v>82</v>
      </c>
      <c r="G68" s="30" t="s">
        <v>30</v>
      </c>
      <c r="H68" s="31" t="s">
        <v>67</v>
      </c>
      <c r="I68" s="32" t="n">
        <v>0.1</v>
      </c>
      <c r="J68" s="33" t="n">
        <v>30</v>
      </c>
      <c r="K68" s="30" t="s">
        <v>26</v>
      </c>
      <c r="L68" s="32" t="n">
        <v>9</v>
      </c>
      <c r="M68" s="34" t="s">
        <v>55</v>
      </c>
      <c r="N68" s="32" t="s">
        <v>68</v>
      </c>
      <c r="O68" s="35" t="n">
        <v>43221</v>
      </c>
      <c r="P68" s="36" t="n">
        <v>949</v>
      </c>
      <c r="Q68" s="36" t="n">
        <v>600</v>
      </c>
      <c r="R68" s="37" t="str">
        <f aca="false">HYPERLINK("https://amzn.to/2GDurZb","link*")</f>
        <v>link*</v>
      </c>
      <c r="S68" s="37" t="str">
        <f aca="false">HYPERLINK("https://www.bhphotovideo.com/c/product/1393327-REG/tokina_firin_20mm_f_2_fe.html/BI/19619/KBID/12129/DFF/d10-v21-t1-x880327/SID/EZ","link*")</f>
        <v>link*</v>
      </c>
      <c r="T68" s="37" t="str">
        <f aca="false">HYPERLINK("https://amzn.to/2GJYCxw","link*")</f>
        <v>link*</v>
      </c>
      <c r="U68" s="37"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68" s="38"/>
    </row>
    <row r="69" customFormat="false" ht="15.75" hidden="true" customHeight="false" outlineLevel="0" collapsed="false">
      <c r="A69" s="80" t="s">
        <v>267</v>
      </c>
      <c r="B69" s="81" t="n">
        <v>636</v>
      </c>
      <c r="C69" s="82" t="n">
        <v>85</v>
      </c>
      <c r="D69" s="83" t="n">
        <v>1.8</v>
      </c>
      <c r="E69" s="133" t="n">
        <v>79</v>
      </c>
      <c r="F69" s="139" t="n">
        <v>92</v>
      </c>
      <c r="G69" s="86" t="s">
        <v>30</v>
      </c>
      <c r="H69" s="87" t="s">
        <v>49</v>
      </c>
      <c r="I69" s="86" t="n">
        <v>0.13</v>
      </c>
      <c r="J69" s="92" t="n">
        <v>379</v>
      </c>
      <c r="K69" s="93" t="str">
        <f aca="false">HYPERLINK("https://amzn.to/2SZfd5v","link*")</f>
        <v>link*</v>
      </c>
      <c r="L69" s="93" t="str">
        <f aca="false">HYPERLINK("https://www.bhphotovideo.com/c/product/1470585-REG/viltrox_pfu_rbmh_85mm_f1_8_stm_e_mount_85mm_f_1_8_lens_for.html/BI/19619/KBID/12129/DFF/d10-v21-t1-x955239/SID/EZ","link*")</f>
        <v>link*</v>
      </c>
      <c r="M69" s="94" t="s">
        <v>33</v>
      </c>
      <c r="N69" s="93"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O69" s="88" t="n">
        <v>80</v>
      </c>
      <c r="P69" s="89" t="s">
        <v>26</v>
      </c>
      <c r="Q69" s="86" t="n">
        <v>9</v>
      </c>
      <c r="R69" s="122" t="n">
        <v>43656</v>
      </c>
      <c r="S69" s="86" t="s">
        <v>64</v>
      </c>
      <c r="T69" s="91" t="n">
        <v>43586</v>
      </c>
    </row>
    <row r="70" customFormat="false" ht="15.75" hidden="true" customHeight="false" outlineLevel="0" collapsed="false">
      <c r="A70" s="132" t="s">
        <v>70</v>
      </c>
      <c r="B70" s="81" t="n">
        <v>220</v>
      </c>
      <c r="C70" s="82" t="n">
        <v>20</v>
      </c>
      <c r="D70" s="83" t="n">
        <v>2.8</v>
      </c>
      <c r="E70" s="133" t="n">
        <v>73</v>
      </c>
      <c r="F70" s="134" t="n">
        <v>64</v>
      </c>
      <c r="G70" s="89" t="s">
        <v>30</v>
      </c>
      <c r="H70" s="87" t="s">
        <v>54</v>
      </c>
      <c r="I70" s="135" t="n">
        <v>0.5</v>
      </c>
      <c r="J70" s="88" t="n">
        <v>11</v>
      </c>
      <c r="K70" s="89" t="s">
        <v>26</v>
      </c>
      <c r="L70" s="86" t="n">
        <v>7</v>
      </c>
      <c r="M70" s="126" t="s">
        <v>71</v>
      </c>
      <c r="N70" s="86" t="s">
        <v>56</v>
      </c>
      <c r="O70" s="91" t="n">
        <v>43860</v>
      </c>
      <c r="P70" s="136" t="n">
        <v>349</v>
      </c>
      <c r="Q70" s="136"/>
      <c r="R70" s="94"/>
      <c r="S70" s="93" t="str">
        <f aca="false">HYPERLINK("https://www.bhphotovideo.com/c/product/1512041-REG/tamron_f050_20mm_f_2_8_di_iii.html/BI/19619/KBID/12129/DFF/d10-v21-t1-x994970/SID/EZ","link*")</f>
        <v>link*</v>
      </c>
      <c r="T70" s="94" t="s">
        <v>33</v>
      </c>
      <c r="U70" s="93"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71" customFormat="false" ht="15.75" hidden="true" customHeight="false" outlineLevel="0" collapsed="false">
      <c r="A71" s="128" t="str">
        <f aca="false">HYPERLINK("https://phillipreeve.net/blog/review-sony-fe-90mm-f2-8-macro-oss-one-of-sonys-finest/","Sony 2.8/90 G OSS")</f>
        <v>Sony 2.8/90 G OSS</v>
      </c>
      <c r="B71" s="81" t="n">
        <v>602</v>
      </c>
      <c r="C71" s="82" t="n">
        <v>90</v>
      </c>
      <c r="D71" s="83" t="n">
        <v>2.8</v>
      </c>
      <c r="E71" s="133" t="n">
        <v>79</v>
      </c>
      <c r="F71" s="139" t="n">
        <v>131</v>
      </c>
      <c r="G71" s="86" t="s">
        <v>30</v>
      </c>
      <c r="H71" s="87" t="s">
        <v>67</v>
      </c>
      <c r="I71" s="280" t="n">
        <v>1</v>
      </c>
      <c r="J71" s="92" t="n">
        <v>1099</v>
      </c>
      <c r="K71" s="93" t="str">
        <f aca="false">HYPERLINK("http://amzn.to/2fbeX3x","link*")</f>
        <v>link*</v>
      </c>
      <c r="L71" s="93" t="str">
        <f aca="false">HYPERLINK("https://www.bhphotovideo.com/c/product/1380868-REG/sony_fe_90mm_f_2_8_macro.html/BI/19619/KBID/12129/kw/SO9028F/DFF/d10-v2-t1-xSO9028F","link*")</f>
        <v>link*</v>
      </c>
      <c r="M71" s="93" t="str">
        <f aca="false">HYPERLINK("http://amzn.to/2vvvHcw","link*")</f>
        <v>link*</v>
      </c>
      <c r="N71" s="93"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1" s="88" t="n">
        <v>28</v>
      </c>
      <c r="P71" s="174" t="s">
        <v>50</v>
      </c>
      <c r="Q71" s="86" t="n">
        <v>9</v>
      </c>
      <c r="R71" s="122" t="n">
        <v>43784</v>
      </c>
      <c r="S71" s="86" t="s">
        <v>32</v>
      </c>
      <c r="T71" s="91" t="n">
        <v>42064</v>
      </c>
    </row>
    <row r="72" customFormat="false" ht="15.75" hidden="true" customHeight="false" outlineLevel="0" collapsed="false">
      <c r="A72" s="128" t="str">
        <f aca="false">HYPERLINK("https://phillipreeve.net/blog/review-sony-fe-100-f-2-8-stf-gm-oss-lens/","Sony GM 2.8/100 STF OSS")</f>
        <v>Sony GM 2.8/100 STF OSS</v>
      </c>
      <c r="B72" s="81" t="n">
        <v>700</v>
      </c>
      <c r="C72" s="82" t="n">
        <v>100</v>
      </c>
      <c r="D72" s="83" t="n">
        <v>2.8</v>
      </c>
      <c r="E72" s="133" t="n">
        <v>85</v>
      </c>
      <c r="F72" s="139" t="n">
        <v>118</v>
      </c>
      <c r="G72" s="86" t="s">
        <v>30</v>
      </c>
      <c r="H72" s="87" t="s">
        <v>49</v>
      </c>
      <c r="I72" s="389" t="n">
        <v>0.25</v>
      </c>
      <c r="J72" s="92" t="n">
        <v>1499</v>
      </c>
      <c r="K72" s="93" t="str">
        <f aca="false">HYPERLINK("https://amzn.to/2YD8rn4","link*")</f>
        <v>link*</v>
      </c>
      <c r="L72" s="93" t="str">
        <f aca="false">HYPERLINK("https://www.bhphotovideo.com/c/product/1317561-REG/sony_sel100f28gm_fe_100mm_f_2_8_stf.html/BI/19619/KBID/12129/DFF/d10-v21-t1-x795192/SID/EZ","link*")</f>
        <v>link*</v>
      </c>
      <c r="M72" s="94" t="s">
        <v>33</v>
      </c>
      <c r="N72" s="93"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O72" s="88" t="n">
        <v>57</v>
      </c>
      <c r="P72" s="174" t="s">
        <v>50</v>
      </c>
      <c r="Q72" s="86" t="n">
        <v>11</v>
      </c>
      <c r="R72" s="122" t="n">
        <v>43752</v>
      </c>
      <c r="S72" s="86" t="s">
        <v>32</v>
      </c>
      <c r="T72" s="91" t="n">
        <v>42767</v>
      </c>
      <c r="U72" s="69" t="s">
        <v>158</v>
      </c>
    </row>
    <row r="73" customFormat="false" ht="15.75" hidden="true" customHeight="false" outlineLevel="0" collapsed="false">
      <c r="A73" s="128" t="str">
        <f aca="false">HYPERLINK("https://phillipreeve.net/blog/review-tokina-firin-100mm-f2-8-fe-macro/","Tokina Firin 2.8/100 Macro")</f>
        <v>Tokina Firin 2.8/100 Macro</v>
      </c>
      <c r="B73" s="81" t="n">
        <v>570</v>
      </c>
      <c r="C73" s="82" t="n">
        <v>100</v>
      </c>
      <c r="D73" s="83" t="n">
        <v>2.8</v>
      </c>
      <c r="E73" s="133" t="n">
        <v>74</v>
      </c>
      <c r="F73" s="134" t="n">
        <v>123</v>
      </c>
      <c r="G73" s="86" t="s">
        <v>30</v>
      </c>
      <c r="H73" s="87" t="s">
        <v>78</v>
      </c>
      <c r="I73" s="280" t="n">
        <v>1</v>
      </c>
      <c r="J73" s="127" t="n">
        <v>599</v>
      </c>
      <c r="K73" s="93" t="str">
        <f aca="false">HYPERLINK("http://amzn.to/2fbeX3x","link*")</f>
        <v>link*</v>
      </c>
      <c r="L73" s="93" t="str">
        <f aca="false">HYPERLINK("https://www.bhphotovideo.com/c/product/1473390-REG/tokina_frn_afm100fxse_firin_100mm_f_2_8_fe.html/BI/19619/KBID/12129/kw/TO100AF/DFF/d10-v2-t1-xTO100AF","link*")</f>
        <v>link*</v>
      </c>
      <c r="M73" s="93"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N73" s="93"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O73" s="88" t="n">
        <v>30</v>
      </c>
      <c r="P73" s="89" t="s">
        <v>26</v>
      </c>
      <c r="Q73" s="86" t="n">
        <v>9</v>
      </c>
      <c r="R73" s="122" t="n">
        <v>43686</v>
      </c>
      <c r="S73" s="86" t="s">
        <v>68</v>
      </c>
      <c r="T73" s="91" t="n">
        <v>43617</v>
      </c>
      <c r="U73" s="69" t="s">
        <v>260</v>
      </c>
    </row>
    <row r="74" customFormat="false" ht="15.75" hidden="true" customHeight="false" outlineLevel="0" collapsed="false">
      <c r="A74" s="80" t="s">
        <v>161</v>
      </c>
      <c r="B74" s="81" t="n">
        <v>1395</v>
      </c>
      <c r="C74" s="82" t="n">
        <v>100</v>
      </c>
      <c r="D74" s="83" t="s">
        <v>144</v>
      </c>
      <c r="E74" s="133" t="n">
        <v>94</v>
      </c>
      <c r="F74" s="134" t="n">
        <v>205</v>
      </c>
      <c r="G74" s="86" t="s">
        <v>30</v>
      </c>
      <c r="H74" s="87" t="s">
        <v>57</v>
      </c>
      <c r="I74" s="389" t="n">
        <v>0.35</v>
      </c>
      <c r="J74" s="92" t="n">
        <v>2499</v>
      </c>
      <c r="K74" s="93" t="str">
        <f aca="false">HYPERLINK("https://amzn.to/2SZ0aZO","link*")</f>
        <v>link*</v>
      </c>
      <c r="L74" s="93" t="str">
        <f aca="false">HYPERLINK("https://www.bhphotovideo.com/c/product/1333230-REG/sony_sel100400gm_fe_100_400mm_f_4_5_5_6_gm.html/BI/19619/KBID/12129/DFF/d10-v21-t1-x817745/SID/EZ","link*")</f>
        <v>link*</v>
      </c>
      <c r="M74" s="94" t="s">
        <v>33</v>
      </c>
      <c r="N74" s="93"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O74" s="88" t="n">
        <v>98</v>
      </c>
      <c r="P74" s="174" t="s">
        <v>50</v>
      </c>
      <c r="Q74" s="86" t="n">
        <v>11</v>
      </c>
      <c r="R74" s="90" t="s">
        <v>160</v>
      </c>
      <c r="S74" s="86" t="s">
        <v>32</v>
      </c>
      <c r="T74" s="91" t="n">
        <v>42826</v>
      </c>
    </row>
    <row r="75" customFormat="false" ht="15.75" hidden="true" customHeight="true" outlineLevel="0" collapsed="false">
      <c r="A75" s="80" t="s">
        <v>162</v>
      </c>
      <c r="B75" s="81" t="n">
        <v>1600</v>
      </c>
      <c r="C75" s="82" t="n">
        <v>105</v>
      </c>
      <c r="D75" s="83" t="n">
        <v>1.4</v>
      </c>
      <c r="E75" s="133" t="n">
        <v>116</v>
      </c>
      <c r="F75" s="134" t="n">
        <v>132</v>
      </c>
      <c r="G75" s="86" t="s">
        <v>30</v>
      </c>
      <c r="H75" s="390" t="s">
        <v>163</v>
      </c>
      <c r="I75" s="86" t="n">
        <v>0.12</v>
      </c>
      <c r="J75" s="92" t="n">
        <v>1599</v>
      </c>
      <c r="K75" s="93" t="str">
        <f aca="false">HYPERLINK("https://amzn.to/2EWeThZ","link*")</f>
        <v>link*</v>
      </c>
      <c r="L75" s="93" t="str">
        <f aca="false">HYPERLINK("https://www.bhphotovideo.com/c/product/1393488-REG/sigma_105mm_f_1_4_dg_hsm.html/BI/19619/KBID/12129/kw/SI10514SO/DFF/d10-v2-t1-xSI10514SO","link*")</f>
        <v>link*</v>
      </c>
      <c r="M75" s="93" t="str">
        <f aca="false">HYPERLINK("https://amzn.to/2WpOvTy","link*")</f>
        <v>link*</v>
      </c>
      <c r="N75" s="93" t="str">
        <f aca="false">HYPERLINK("http://rover.ebay.com/rover/1/711-53200-19255-0/1?icep_ff3=9&amp;pub=5575076376&amp;toolid=10001&amp;campid=5338164340&amp;customid=&amp;icep_uq=sigma+art+100+1.4+sony&amp;icep_sellerId=&amp;icep_ex_kw=&amp;icep_sortBy=12&amp;icep_catId=3323&amp;icep_minPrice=&amp;icep_maxPrice=&amp;ipn=psmain&amp;icep_vec"&amp;"torid=229466&amp;kwid=902099&amp;mtid=824&amp;kw=lg","link*")</f>
        <v>link*</v>
      </c>
      <c r="O75" s="88" t="n">
        <v>100</v>
      </c>
      <c r="P75" s="89" t="s">
        <v>26</v>
      </c>
      <c r="Q75" s="86" t="n">
        <v>9</v>
      </c>
      <c r="R75" s="122" t="n">
        <v>43816</v>
      </c>
      <c r="S75" s="86" t="s">
        <v>164</v>
      </c>
      <c r="T75" s="91" t="n">
        <v>43221</v>
      </c>
      <c r="U75" s="69" t="s">
        <v>260</v>
      </c>
    </row>
    <row r="76" customFormat="false" ht="15.75" hidden="true" customHeight="false" outlineLevel="0" collapsed="false">
      <c r="A76" s="80" t="s">
        <v>44</v>
      </c>
      <c r="B76" s="81" t="n">
        <v>795</v>
      </c>
      <c r="C76" s="82" t="n">
        <v>14</v>
      </c>
      <c r="D76" s="83" t="n">
        <v>2.8</v>
      </c>
      <c r="E76" s="84" t="n">
        <v>85</v>
      </c>
      <c r="F76" s="85" t="n">
        <v>131</v>
      </c>
      <c r="G76" s="86" t="s">
        <v>30</v>
      </c>
      <c r="H76" s="87" t="s">
        <v>25</v>
      </c>
      <c r="I76" s="86" t="n">
        <v>0.14</v>
      </c>
      <c r="J76" s="88" t="n">
        <v>28</v>
      </c>
      <c r="K76" s="89" t="s">
        <v>26</v>
      </c>
      <c r="L76" s="86" t="n">
        <v>11</v>
      </c>
      <c r="M76" s="90" t="s">
        <v>45</v>
      </c>
      <c r="N76" s="86" t="s">
        <v>43</v>
      </c>
      <c r="O76" s="91" t="n">
        <v>43693</v>
      </c>
      <c r="P76" s="92" t="n">
        <v>1399</v>
      </c>
      <c r="Q76" s="92" t="n">
        <v>1100</v>
      </c>
      <c r="R76" s="93" t="str">
        <f aca="false">HYPERLINK("https://amzn.to/2zt8rMC","link*")</f>
        <v>link*</v>
      </c>
      <c r="S76" s="93" t="str">
        <f aca="false">HYPERLINK("https://www.bhphotovideo.com/c/product/1492972-REG/sigma_213965_14_24mm_f_2_8_dg_dn.html/BI/19619/KBID/12129/DFF/d10-v21-t1-x976041/SID/EZ","link*")</f>
        <v>link*</v>
      </c>
      <c r="T76" s="94" t="s">
        <v>33</v>
      </c>
      <c r="U76" s="93"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V76" s="69" t="s">
        <v>37</v>
      </c>
    </row>
    <row r="77" customFormat="false" ht="15.75" hidden="true" customHeight="false" outlineLevel="0" collapsed="false">
      <c r="A77" s="128" t="str">
        <f aca="false">HYPERLINK("https://phillipreeve.net/blog/review-sony-fe-135mm-f1-8-gm/","Sony 1.8/135 GM")</f>
        <v>Sony 1.8/135 GM</v>
      </c>
      <c r="B77" s="81" t="n">
        <v>950</v>
      </c>
      <c r="C77" s="82" t="n">
        <v>135</v>
      </c>
      <c r="D77" s="83" t="n">
        <v>1.8</v>
      </c>
      <c r="E77" s="133" t="n">
        <v>90</v>
      </c>
      <c r="F77" s="139" t="n">
        <v>127</v>
      </c>
      <c r="G77" s="86" t="s">
        <v>30</v>
      </c>
      <c r="H77" s="288" t="s">
        <v>52</v>
      </c>
      <c r="I77" s="389" t="n">
        <v>0.25</v>
      </c>
      <c r="J77" s="92" t="n">
        <v>1899</v>
      </c>
      <c r="K77" s="93" t="str">
        <f aca="false">HYPERLINK("https://amzn.to/2WtonMJ","link*")</f>
        <v>link*</v>
      </c>
      <c r="L77" s="93" t="str">
        <f aca="false">HYPERLINK("https://www.bhphotovideo.com/c/product/1393495-REG/sigma_135mm_f_1_8_dg_hsm.html/BI/19619/KBID/12129/kw/SI13518SO/DFF/d10-v2-t1-xSI13518SO","link*")</f>
        <v>link*</v>
      </c>
      <c r="M77" s="93" t="str">
        <f aca="false">HYPERLINK("https://amzn.to/2Z9KKDE","link*")</f>
        <v>link*</v>
      </c>
      <c r="N77" s="93"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c r="O77" s="88" t="n">
        <v>70</v>
      </c>
      <c r="P77" s="89" t="s">
        <v>26</v>
      </c>
      <c r="Q77" s="86" t="n">
        <v>11</v>
      </c>
      <c r="R77" s="122" t="n">
        <v>43751</v>
      </c>
      <c r="S77" s="86" t="s">
        <v>32</v>
      </c>
      <c r="T77" s="91" t="n">
        <v>43525</v>
      </c>
    </row>
    <row r="78" customFormat="false" ht="15.75" hidden="true" customHeight="false" outlineLevel="0" collapsed="false">
      <c r="A78" s="80" t="s">
        <v>166</v>
      </c>
      <c r="B78" s="81" t="n">
        <v>1130</v>
      </c>
      <c r="C78" s="82" t="n">
        <v>135</v>
      </c>
      <c r="D78" s="83" t="n">
        <v>1.8</v>
      </c>
      <c r="E78" s="133" t="n">
        <v>91</v>
      </c>
      <c r="F78" s="139" t="n">
        <v>115</v>
      </c>
      <c r="G78" s="86" t="s">
        <v>30</v>
      </c>
      <c r="H78" s="288" t="s">
        <v>52</v>
      </c>
      <c r="I78" s="86" t="n">
        <v>0.2</v>
      </c>
      <c r="J78" s="127" t="n">
        <v>1399</v>
      </c>
      <c r="K78" s="93" t="str">
        <f aca="false">HYPERLINK("https://amzn.to/2yxIM4R","link*")</f>
        <v>link*</v>
      </c>
      <c r="L78" s="93" t="str">
        <f aca="false">HYPERLINK("https://www.bhphotovideo.com/c/product/1393495-REG/sigma_135mm_f_1_8_dg_hsm.html/BI/19619/KBID/12129/DFF/d10-v21-t1-x881160/SID/EZ","link*")</f>
        <v>link*</v>
      </c>
      <c r="M78" s="94" t="s">
        <v>33</v>
      </c>
      <c r="N78" s="93"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O78" s="88" t="n">
        <v>87</v>
      </c>
      <c r="P78" s="89" t="s">
        <v>26</v>
      </c>
      <c r="Q78" s="86" t="n">
        <v>9</v>
      </c>
      <c r="R78" s="122" t="n">
        <v>43751</v>
      </c>
      <c r="S78" s="86" t="s">
        <v>43</v>
      </c>
      <c r="T78" s="91" t="n">
        <v>43221</v>
      </c>
      <c r="U78" s="69" t="s">
        <v>260</v>
      </c>
    </row>
    <row r="79" customFormat="false" ht="15.75" hidden="true" customHeight="false" outlineLevel="0" collapsed="false">
      <c r="A79" s="128" t="str">
        <f aca="false">HYPERLINK("https://phillipreeve.net/blog/zeiss-batis-apo-sonnar-t-135mm-f2-8/","Zeiss 2.8/135 APO")</f>
        <v>Zeiss 2.8/135 APO</v>
      </c>
      <c r="B79" s="81" t="n">
        <v>614</v>
      </c>
      <c r="C79" s="82" t="n">
        <v>135</v>
      </c>
      <c r="D79" s="83" t="n">
        <v>2.8</v>
      </c>
      <c r="E79" s="133" t="n">
        <v>99</v>
      </c>
      <c r="F79" s="139" t="n">
        <v>120</v>
      </c>
      <c r="G79" s="86" t="s">
        <v>30</v>
      </c>
      <c r="H79" s="87" t="s">
        <v>54</v>
      </c>
      <c r="I79" s="86" t="n">
        <v>0.19</v>
      </c>
      <c r="J79" s="92" t="n">
        <v>1699</v>
      </c>
      <c r="K79" s="93" t="str">
        <f aca="false">HYPERLINK("https://amzn.to/319GJA4","link*")</f>
        <v>link*</v>
      </c>
      <c r="L79" s="93" t="str">
        <f aca="false">HYPERLINK("https://www.bhphotovideo.com/c/product/1330083-REG/zeiss_2136_695_batis_135mm_f_2_8_lens.html/BI/19619/KBID/12129/DFF/d10-v21-t1-x814884/SID/EZ","link*")</f>
        <v>link*</v>
      </c>
      <c r="M79" s="94" t="s">
        <v>33</v>
      </c>
      <c r="N79" s="93" t="str">
        <f aca="false">HYPERLINK("http://rover.ebay.com/rover/1/711-53200-19255-0/1?icep_ff3=9&amp;pub=5575076376&amp;toolid=10001&amp;campid=5338164340&amp;customid=&amp;icep_uq=zeiss+135+2.8&amp;icep_sellerId=&amp;icep_ex_kw=&amp;icep_sortBy=12&amp;icep_catId=3323&amp;icep_minPrice=&amp;icep_maxPrice=&amp;ipn=psmain&amp;icep_vectorid=229"&amp;"466&amp;kwid=902099&amp;mtid=824&amp;kw=lg","link*")</f>
        <v>link*</v>
      </c>
      <c r="O79" s="88" t="n">
        <v>87</v>
      </c>
      <c r="P79" s="174" t="s">
        <v>50</v>
      </c>
      <c r="Q79" s="86" t="n">
        <v>9</v>
      </c>
      <c r="R79" s="122" t="n">
        <v>43783</v>
      </c>
      <c r="S79" s="86" t="s">
        <v>59</v>
      </c>
      <c r="T79" s="91" t="n">
        <v>42826</v>
      </c>
    </row>
    <row r="80" customFormat="false" ht="15.75" hidden="true" customHeight="false" outlineLevel="0" collapsed="false">
      <c r="A80" s="80" t="s">
        <v>172</v>
      </c>
      <c r="B80" s="81" t="n">
        <v>2215</v>
      </c>
      <c r="C80" s="82" t="n">
        <v>200</v>
      </c>
      <c r="D80" s="83" t="s">
        <v>173</v>
      </c>
      <c r="E80" s="133" t="n">
        <v>112</v>
      </c>
      <c r="F80" s="139" t="n">
        <v>318</v>
      </c>
      <c r="G80" s="86" t="s">
        <v>30</v>
      </c>
      <c r="H80" s="215" t="s">
        <v>105</v>
      </c>
      <c r="I80" s="86" t="n">
        <v>0.2</v>
      </c>
      <c r="J80" s="92" t="n">
        <v>1999</v>
      </c>
      <c r="K80" s="94"/>
      <c r="L80" s="93" t="str">
        <f aca="false">HYPERLINK("https://www.bhphotovideo.com/c/product/1485540-REG/sony_sel200600g_fe_200_600mm_f_5_6_6_3_g.html/BI/19619/KBID/12129/DFF/d10-v21-t1-x968882/SID/EZ","link*")</f>
        <v>link*</v>
      </c>
      <c r="M80" s="94" t="s">
        <v>33</v>
      </c>
      <c r="N80" s="93"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O80" s="88" t="n">
        <v>240</v>
      </c>
      <c r="P80" s="174" t="s">
        <v>50</v>
      </c>
      <c r="Q80" s="86" t="n">
        <v>11</v>
      </c>
      <c r="R80" s="90" t="s">
        <v>174</v>
      </c>
      <c r="S80" s="86" t="s">
        <v>32</v>
      </c>
      <c r="T80" s="91" t="n">
        <v>43647</v>
      </c>
    </row>
    <row r="81" customFormat="false" ht="15.75" hidden="true" customHeight="false" outlineLevel="0" collapsed="false">
      <c r="A81" s="80" t="s">
        <v>175</v>
      </c>
      <c r="B81" s="81" t="n">
        <v>2895</v>
      </c>
      <c r="C81" s="82" t="n">
        <v>400</v>
      </c>
      <c r="D81" s="83" t="n">
        <v>2.8</v>
      </c>
      <c r="E81" s="133" t="n">
        <v>158</v>
      </c>
      <c r="F81" s="139" t="n">
        <v>359</v>
      </c>
      <c r="G81" s="86" t="s">
        <v>30</v>
      </c>
      <c r="H81" s="87" t="s">
        <v>176</v>
      </c>
      <c r="I81" s="86" t="n">
        <v>0.16</v>
      </c>
      <c r="J81" s="92" t="n">
        <v>11999</v>
      </c>
      <c r="K81" s="94"/>
      <c r="L81" s="93" t="str">
        <f aca="false">HYPERLINK("https://www.bhphotovideo.com/c/product/1369634-REG/sony_fe_400mm_f_2_8_gm.html/BI/19619/KBID/12129/DFF/d10-v21-t1-x905722/SID/EZ","link*")</f>
        <v>link*</v>
      </c>
      <c r="M81" s="94" t="s">
        <v>33</v>
      </c>
      <c r="N81" s="93"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O81" s="88" t="n">
        <v>270</v>
      </c>
      <c r="P81" s="174" t="s">
        <v>50</v>
      </c>
      <c r="Q81" s="86" t="n">
        <v>11</v>
      </c>
      <c r="R81" s="90" t="s">
        <v>177</v>
      </c>
      <c r="S81" s="86" t="s">
        <v>32</v>
      </c>
      <c r="T81" s="91" t="n">
        <v>43313</v>
      </c>
    </row>
    <row r="82" customFormat="false" ht="15.75" hidden="true" customHeight="false" outlineLevel="0" collapsed="false">
      <c r="A82" s="248" t="s">
        <v>178</v>
      </c>
      <c r="B82" s="249" t="n">
        <v>3040</v>
      </c>
      <c r="C82" s="250" t="n">
        <v>600</v>
      </c>
      <c r="D82" s="251" t="n">
        <v>4</v>
      </c>
      <c r="E82" s="133" t="n">
        <v>164</v>
      </c>
      <c r="F82" s="139" t="n">
        <v>449</v>
      </c>
      <c r="G82" s="224" t="s">
        <v>30</v>
      </c>
      <c r="H82" s="252" t="s">
        <v>25</v>
      </c>
      <c r="I82" s="224" t="n">
        <v>0.14</v>
      </c>
      <c r="J82" s="136" t="s">
        <v>268</v>
      </c>
      <c r="K82" s="94"/>
      <c r="L82" s="93" t="str">
        <f aca="false">HYPERLINK("https://www.bhphotovideo.com/c/product/1485539-REG/sony_sel600f40gm_fe_600mm_f_4_gm.html/BI/19619/KBID/12129/DFF/d10-v21-t1-x968881/SID/EZ","link*")</f>
        <v>link*</v>
      </c>
      <c r="M82" s="94" t="s">
        <v>33</v>
      </c>
      <c r="N82" s="93"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c r="O82" s="225" t="n">
        <v>451</v>
      </c>
      <c r="P82" s="174" t="s">
        <v>50</v>
      </c>
      <c r="Q82" s="224" t="n">
        <v>11</v>
      </c>
      <c r="R82" s="282" t="s">
        <v>179</v>
      </c>
      <c r="S82" s="224" t="s">
        <v>32</v>
      </c>
      <c r="T82" s="235" t="n">
        <v>43678</v>
      </c>
    </row>
    <row r="83" customFormat="false" ht="15.75" hidden="true" customHeight="false" outlineLevel="0" collapsed="false">
      <c r="A83" s="294"/>
      <c r="B83" s="295"/>
      <c r="C83" s="296"/>
      <c r="D83" s="297"/>
      <c r="E83" s="133"/>
      <c r="F83" s="139"/>
      <c r="G83" s="69"/>
      <c r="H83" s="298"/>
      <c r="I83" s="69"/>
      <c r="J83" s="300"/>
      <c r="K83" s="301"/>
      <c r="L83" s="301"/>
      <c r="M83" s="301"/>
      <c r="N83" s="301"/>
      <c r="O83" s="299"/>
      <c r="P83" s="69"/>
      <c r="Q83" s="69"/>
      <c r="R83" s="69"/>
      <c r="S83" s="69"/>
      <c r="T83" s="242"/>
    </row>
    <row r="84" customFormat="false" ht="15.75" hidden="true" customHeight="false" outlineLevel="0" collapsed="false">
      <c r="A84" s="294"/>
      <c r="B84" s="295"/>
      <c r="C84" s="296"/>
      <c r="D84" s="297"/>
      <c r="E84" s="133"/>
      <c r="F84" s="139"/>
      <c r="G84" s="69"/>
      <c r="H84" s="298"/>
      <c r="I84" s="69"/>
      <c r="J84" s="300"/>
      <c r="K84" s="301"/>
      <c r="L84" s="301"/>
      <c r="M84" s="301"/>
      <c r="N84" s="301"/>
      <c r="O84" s="299"/>
      <c r="P84" s="69"/>
      <c r="Q84" s="69"/>
      <c r="R84" s="69"/>
      <c r="S84" s="69"/>
      <c r="T84" s="242"/>
    </row>
    <row r="85" customFormat="false" ht="15.75" hidden="true" customHeight="false" outlineLevel="0" collapsed="false">
      <c r="A85" s="294"/>
      <c r="B85" s="295"/>
      <c r="C85" s="296"/>
      <c r="D85" s="297"/>
      <c r="E85" s="133"/>
      <c r="F85" s="139"/>
      <c r="G85" s="69"/>
      <c r="H85" s="298"/>
      <c r="I85" s="69"/>
      <c r="J85" s="300"/>
      <c r="K85" s="301"/>
      <c r="L85" s="301"/>
      <c r="M85" s="301"/>
      <c r="N85" s="301"/>
      <c r="O85" s="299"/>
      <c r="P85" s="69"/>
      <c r="Q85" s="69"/>
      <c r="R85" s="69"/>
      <c r="S85" s="69"/>
      <c r="T85" s="242"/>
    </row>
    <row r="86" customFormat="false" ht="15.75" hidden="true" customHeight="false" outlineLevel="0" collapsed="false">
      <c r="A86" s="294"/>
      <c r="B86" s="295"/>
      <c r="C86" s="296"/>
      <c r="D86" s="297"/>
      <c r="E86" s="133"/>
      <c r="F86" s="139"/>
      <c r="G86" s="69"/>
      <c r="H86" s="298"/>
      <c r="I86" s="69"/>
      <c r="J86" s="300"/>
      <c r="K86" s="301"/>
      <c r="L86" s="301"/>
      <c r="M86" s="301"/>
      <c r="N86" s="301"/>
      <c r="O86" s="299"/>
      <c r="P86" s="69"/>
      <c r="Q86" s="69"/>
      <c r="R86" s="69"/>
      <c r="S86" s="69"/>
      <c r="T86" s="242"/>
    </row>
    <row r="87" customFormat="false" ht="15.75" hidden="true" customHeight="false" outlineLevel="0" collapsed="false">
      <c r="A87" s="294"/>
      <c r="B87" s="295"/>
      <c r="C87" s="296"/>
      <c r="D87" s="297"/>
      <c r="E87" s="133"/>
      <c r="F87" s="134"/>
      <c r="G87" s="69"/>
      <c r="H87" s="298"/>
      <c r="I87" s="69"/>
      <c r="J87" s="300"/>
      <c r="K87" s="301"/>
      <c r="L87" s="301"/>
      <c r="M87" s="301"/>
      <c r="N87" s="301"/>
      <c r="O87" s="299"/>
      <c r="P87" s="69"/>
      <c r="Q87" s="69"/>
      <c r="R87" s="69"/>
      <c r="S87" s="69"/>
      <c r="T87" s="242"/>
    </row>
    <row r="88" customFormat="false" ht="15.75" hidden="true" customHeight="false" outlineLevel="0" collapsed="false">
      <c r="A88" s="294"/>
      <c r="B88" s="295"/>
      <c r="C88" s="296"/>
      <c r="D88" s="297"/>
      <c r="E88" s="133"/>
      <c r="F88" s="139"/>
      <c r="G88" s="69"/>
      <c r="H88" s="298"/>
      <c r="I88" s="69"/>
      <c r="J88" s="300"/>
      <c r="K88" s="301"/>
      <c r="L88" s="301"/>
      <c r="M88" s="301"/>
      <c r="N88" s="301"/>
      <c r="O88" s="299"/>
      <c r="P88" s="69"/>
      <c r="Q88" s="69"/>
      <c r="R88" s="69"/>
      <c r="S88" s="69"/>
      <c r="T88" s="242"/>
    </row>
    <row r="89" customFormat="false" ht="15.75" hidden="true" customHeight="false" outlineLevel="0" collapsed="false">
      <c r="A89" s="294"/>
      <c r="B89" s="295"/>
      <c r="C89" s="296"/>
      <c r="D89" s="297"/>
      <c r="E89" s="133"/>
      <c r="F89" s="139"/>
      <c r="G89" s="69"/>
      <c r="H89" s="298"/>
      <c r="I89" s="69"/>
      <c r="J89" s="300"/>
      <c r="K89" s="301"/>
      <c r="L89" s="301"/>
      <c r="M89" s="301"/>
      <c r="N89" s="301"/>
      <c r="O89" s="299"/>
      <c r="P89" s="69"/>
      <c r="Q89" s="69"/>
      <c r="R89" s="69"/>
      <c r="S89" s="69"/>
      <c r="T89" s="242"/>
    </row>
    <row r="90" customFormat="false" ht="15.75" hidden="true" customHeight="false" outlineLevel="0" collapsed="false">
      <c r="A90" s="294"/>
      <c r="B90" s="295"/>
      <c r="C90" s="296"/>
      <c r="D90" s="297"/>
      <c r="E90" s="133"/>
      <c r="F90" s="139"/>
      <c r="G90" s="69"/>
      <c r="H90" s="298"/>
      <c r="I90" s="69"/>
      <c r="J90" s="300"/>
      <c r="K90" s="301"/>
      <c r="L90" s="301"/>
      <c r="M90" s="301"/>
      <c r="N90" s="301"/>
      <c r="O90" s="299"/>
      <c r="P90" s="69"/>
      <c r="Q90" s="69"/>
      <c r="R90" s="69"/>
      <c r="S90" s="69"/>
      <c r="T90" s="242"/>
    </row>
    <row r="91" customFormat="false" ht="15.75" hidden="true" customHeight="false" outlineLevel="0" collapsed="false">
      <c r="A91" s="294"/>
      <c r="B91" s="295"/>
      <c r="C91" s="296"/>
      <c r="D91" s="297"/>
      <c r="E91" s="133"/>
      <c r="F91" s="139"/>
      <c r="G91" s="69"/>
      <c r="H91" s="298"/>
      <c r="I91" s="69"/>
      <c r="J91" s="300"/>
      <c r="K91" s="301"/>
      <c r="L91" s="301"/>
      <c r="M91" s="301"/>
      <c r="N91" s="301"/>
      <c r="O91" s="299"/>
      <c r="P91" s="69"/>
      <c r="Q91" s="69"/>
      <c r="R91" s="69"/>
      <c r="S91" s="69"/>
      <c r="T91" s="242"/>
    </row>
    <row r="92" customFormat="false" ht="15.75" hidden="true" customHeight="false" outlineLevel="0" collapsed="false">
      <c r="A92" s="294"/>
      <c r="B92" s="295"/>
      <c r="C92" s="296"/>
      <c r="D92" s="297"/>
      <c r="E92" s="133"/>
      <c r="F92" s="139"/>
      <c r="G92" s="69"/>
      <c r="H92" s="298"/>
      <c r="I92" s="69"/>
      <c r="J92" s="300"/>
      <c r="K92" s="301"/>
      <c r="L92" s="301"/>
      <c r="M92" s="301"/>
      <c r="N92" s="301"/>
      <c r="O92" s="299"/>
      <c r="P92" s="69"/>
      <c r="Q92" s="69"/>
      <c r="R92" s="69"/>
      <c r="S92" s="69"/>
      <c r="T92" s="242"/>
    </row>
    <row r="93" customFormat="false" ht="15.75" hidden="true" customHeight="false" outlineLevel="0" collapsed="false">
      <c r="A93" s="294"/>
      <c r="B93" s="295"/>
      <c r="C93" s="296"/>
      <c r="D93" s="297"/>
      <c r="E93" s="133"/>
      <c r="F93" s="134"/>
      <c r="G93" s="69"/>
      <c r="H93" s="298"/>
      <c r="I93" s="69"/>
      <c r="J93" s="300"/>
      <c r="K93" s="301"/>
      <c r="L93" s="301"/>
      <c r="M93" s="301"/>
      <c r="N93" s="301"/>
      <c r="O93" s="299"/>
      <c r="P93" s="69"/>
      <c r="Q93" s="69"/>
      <c r="R93" s="69"/>
      <c r="S93" s="69"/>
      <c r="T93" s="242"/>
    </row>
    <row r="94" customFormat="false" ht="15.75" hidden="true" customHeight="false" outlineLevel="0" collapsed="false">
      <c r="A94" s="294"/>
      <c r="B94" s="295"/>
      <c r="C94" s="296"/>
      <c r="D94" s="297"/>
      <c r="E94" s="133"/>
      <c r="F94" s="139"/>
      <c r="G94" s="69"/>
      <c r="H94" s="298"/>
      <c r="I94" s="69"/>
      <c r="J94" s="300"/>
      <c r="K94" s="301"/>
      <c r="L94" s="301"/>
      <c r="M94" s="301"/>
      <c r="N94" s="301"/>
      <c r="O94" s="299"/>
      <c r="P94" s="69"/>
      <c r="Q94" s="69"/>
      <c r="R94" s="69"/>
      <c r="S94" s="69"/>
      <c r="T94" s="242"/>
    </row>
    <row r="95" customFormat="false" ht="15.75" hidden="true" customHeight="false" outlineLevel="0" collapsed="false">
      <c r="A95" s="294"/>
      <c r="B95" s="295"/>
      <c r="C95" s="296"/>
      <c r="D95" s="297"/>
      <c r="E95" s="196"/>
      <c r="F95" s="197"/>
      <c r="G95" s="69"/>
      <c r="H95" s="298"/>
      <c r="I95" s="69"/>
      <c r="J95" s="300"/>
      <c r="K95" s="301"/>
      <c r="L95" s="301"/>
      <c r="M95" s="301"/>
      <c r="N95" s="301"/>
      <c r="O95" s="299"/>
      <c r="P95" s="69"/>
      <c r="Q95" s="69"/>
      <c r="R95" s="69"/>
      <c r="S95" s="69"/>
      <c r="T95" s="242"/>
    </row>
    <row r="96" customFormat="false" ht="15.75" hidden="true" customHeight="false" outlineLevel="0" collapsed="false">
      <c r="A96" s="294"/>
      <c r="B96" s="295"/>
      <c r="C96" s="296"/>
      <c r="D96" s="297"/>
      <c r="E96" s="302"/>
      <c r="F96" s="302"/>
      <c r="G96" s="69"/>
      <c r="H96" s="298"/>
      <c r="I96" s="69"/>
      <c r="J96" s="300"/>
      <c r="K96" s="301"/>
      <c r="L96" s="301"/>
      <c r="M96" s="301"/>
      <c r="N96" s="301"/>
      <c r="O96" s="299"/>
      <c r="P96" s="69"/>
      <c r="Q96" s="69"/>
      <c r="R96" s="69"/>
      <c r="S96" s="69"/>
      <c r="T96" s="242"/>
    </row>
    <row r="97" customFormat="false" ht="15.75" hidden="true" customHeight="false" outlineLevel="0" collapsed="false">
      <c r="A97" s="294"/>
      <c r="B97" s="295"/>
      <c r="C97" s="296"/>
      <c r="D97" s="297"/>
      <c r="E97" s="302"/>
      <c r="F97" s="302"/>
      <c r="G97" s="69"/>
      <c r="H97" s="298"/>
      <c r="I97" s="69"/>
      <c r="J97" s="300"/>
      <c r="K97" s="301"/>
      <c r="L97" s="301"/>
      <c r="M97" s="301"/>
      <c r="N97" s="301"/>
      <c r="O97" s="299"/>
      <c r="P97" s="69"/>
      <c r="Q97" s="69"/>
      <c r="R97" s="69"/>
      <c r="S97" s="69"/>
      <c r="T97" s="242"/>
    </row>
    <row r="98" customFormat="false" ht="15.75" hidden="true" customHeight="false" outlineLevel="0" collapsed="false">
      <c r="A98" s="294"/>
      <c r="B98" s="295"/>
      <c r="C98" s="296"/>
      <c r="D98" s="297"/>
      <c r="E98" s="302"/>
      <c r="F98" s="302"/>
      <c r="G98" s="69"/>
      <c r="H98" s="298"/>
      <c r="I98" s="69"/>
      <c r="J98" s="300"/>
      <c r="K98" s="301"/>
      <c r="L98" s="301"/>
      <c r="M98" s="301"/>
      <c r="N98" s="301"/>
      <c r="O98" s="299"/>
      <c r="P98" s="69"/>
      <c r="Q98" s="69"/>
      <c r="R98" s="69"/>
      <c r="S98" s="69"/>
      <c r="T98" s="242"/>
    </row>
    <row r="99" customFormat="false" ht="15.75" hidden="true" customHeight="false" outlineLevel="0" collapsed="false">
      <c r="A99" s="294"/>
      <c r="B99" s="295"/>
      <c r="C99" s="296"/>
      <c r="D99" s="297"/>
      <c r="E99" s="302"/>
      <c r="F99" s="302"/>
      <c r="G99" s="69"/>
      <c r="H99" s="298"/>
      <c r="I99" s="69"/>
      <c r="J99" s="300"/>
      <c r="K99" s="301"/>
      <c r="L99" s="301"/>
      <c r="M99" s="301"/>
      <c r="N99" s="301"/>
      <c r="O99" s="299"/>
      <c r="P99" s="69"/>
      <c r="Q99" s="69"/>
      <c r="R99" s="69"/>
      <c r="S99" s="69"/>
      <c r="T99" s="242"/>
    </row>
    <row r="100" customFormat="false" ht="15.75" hidden="true" customHeight="false" outlineLevel="0" collapsed="false">
      <c r="A100" s="294"/>
      <c r="B100" s="295"/>
      <c r="C100" s="296"/>
      <c r="D100" s="297"/>
      <c r="E100" s="302"/>
      <c r="F100" s="302"/>
      <c r="G100" s="69"/>
      <c r="H100" s="298"/>
      <c r="I100" s="69"/>
      <c r="J100" s="300"/>
      <c r="K100" s="301"/>
      <c r="L100" s="301"/>
      <c r="M100" s="301"/>
      <c r="N100" s="301"/>
      <c r="O100" s="299"/>
      <c r="P100" s="69"/>
      <c r="Q100" s="69"/>
      <c r="R100" s="69"/>
      <c r="S100" s="69"/>
      <c r="T100" s="242"/>
    </row>
    <row r="101" customFormat="false" ht="15.75" hidden="true" customHeight="false" outlineLevel="0" collapsed="false">
      <c r="A101" s="294"/>
      <c r="B101" s="295"/>
      <c r="C101" s="296"/>
      <c r="D101" s="297"/>
      <c r="E101" s="302"/>
      <c r="F101" s="302"/>
      <c r="G101" s="69"/>
      <c r="H101" s="298"/>
      <c r="I101" s="69"/>
      <c r="J101" s="300"/>
      <c r="K101" s="301"/>
      <c r="L101" s="301"/>
      <c r="M101" s="301"/>
      <c r="N101" s="301"/>
      <c r="O101" s="299"/>
      <c r="P101" s="69"/>
      <c r="Q101" s="69"/>
      <c r="R101" s="69"/>
      <c r="S101" s="69"/>
      <c r="T101" s="242"/>
    </row>
    <row r="102" customFormat="false" ht="15.75" hidden="true" customHeight="false" outlineLevel="0" collapsed="false">
      <c r="A102" s="294"/>
      <c r="B102" s="295"/>
      <c r="C102" s="296"/>
      <c r="D102" s="297"/>
      <c r="E102" s="302"/>
      <c r="F102" s="302"/>
      <c r="G102" s="69"/>
      <c r="H102" s="298"/>
      <c r="I102" s="69"/>
      <c r="J102" s="300"/>
      <c r="K102" s="301"/>
      <c r="L102" s="301"/>
      <c r="M102" s="301"/>
      <c r="N102" s="301"/>
      <c r="O102" s="299"/>
      <c r="P102" s="69"/>
      <c r="Q102" s="69"/>
      <c r="R102" s="69"/>
      <c r="S102" s="69"/>
      <c r="T102" s="242"/>
    </row>
    <row r="103" customFormat="false" ht="15.75" hidden="true" customHeight="false" outlineLevel="0" collapsed="false">
      <c r="A103" s="69" t="s">
        <v>181</v>
      </c>
      <c r="B103" s="383" t="n">
        <f aca="false">COUNT(B2:B101)</f>
        <v>80</v>
      </c>
      <c r="C103" s="69" t="s">
        <v>269</v>
      </c>
      <c r="D103" s="69"/>
      <c r="E103" s="302"/>
      <c r="F103" s="310"/>
      <c r="G103" s="69"/>
      <c r="H103" s="298"/>
      <c r="I103" s="69"/>
      <c r="J103" s="69"/>
      <c r="K103" s="301"/>
      <c r="L103" s="301"/>
      <c r="M103" s="301"/>
      <c r="N103" s="301"/>
      <c r="O103" s="69"/>
      <c r="P103" s="69"/>
      <c r="Q103" s="69"/>
      <c r="R103" s="69"/>
      <c r="S103" s="69"/>
      <c r="T103" s="69"/>
    </row>
    <row r="104" customFormat="false" ht="15.75" hidden="true" customHeight="false" outlineLevel="0" collapsed="false">
      <c r="A104" s="311" t="s">
        <v>270</v>
      </c>
      <c r="E104" s="302"/>
      <c r="F104" s="310"/>
      <c r="H104" s="298"/>
    </row>
    <row r="105" customFormat="false" ht="15.75" hidden="true" customHeight="false" outlineLevel="0" collapsed="false">
      <c r="A105" s="294"/>
      <c r="B105" s="69"/>
      <c r="C105" s="69"/>
      <c r="D105" s="69"/>
      <c r="E105" s="302"/>
      <c r="F105" s="310"/>
      <c r="G105" s="69"/>
      <c r="H105" s="298"/>
      <c r="I105" s="69"/>
      <c r="J105" s="69"/>
      <c r="K105" s="301"/>
      <c r="L105" s="301"/>
      <c r="M105" s="301"/>
      <c r="N105" s="301"/>
      <c r="O105" s="69"/>
      <c r="P105" s="69"/>
      <c r="Q105" s="69"/>
      <c r="R105" s="69"/>
      <c r="S105" s="69"/>
      <c r="T105" s="69"/>
    </row>
    <row r="106" customFormat="false" ht="15.75" hidden="true" customHeight="false" outlineLevel="0" collapsed="false">
      <c r="A106" s="384" t="str">
        <f aca="false">HYPERLINK("https://phillipreeve.net/blog/sony-fe-lenses/fe-list/","If you have a question or want to report any mistake please leave a comment on the blog.")</f>
        <v>If you have a question or want to report any mistake please leave a comment on the blog.</v>
      </c>
      <c r="B106" s="313"/>
      <c r="C106" s="313"/>
      <c r="D106" s="313"/>
      <c r="E106" s="314"/>
      <c r="F106" s="315"/>
      <c r="G106" s="313"/>
      <c r="H106" s="316"/>
      <c r="I106" s="313"/>
      <c r="J106" s="313"/>
      <c r="K106" s="301"/>
      <c r="L106" s="301"/>
      <c r="M106" s="301"/>
      <c r="N106" s="301"/>
    </row>
    <row r="107" customFormat="false" ht="15.75" hidden="true" customHeight="false" outlineLevel="0" collapsed="false">
      <c r="E107" s="302"/>
      <c r="F107" s="310"/>
    </row>
    <row r="108" customFormat="false" ht="15.75" hidden="true" customHeight="false" outlineLevel="0" collapsed="false">
      <c r="A108" s="294" t="s">
        <v>183</v>
      </c>
      <c r="E108" s="302"/>
      <c r="F108" s="310"/>
      <c r="H108" s="298"/>
    </row>
    <row r="109" customFormat="false" ht="15.75" hidden="true" customHeight="false" outlineLevel="0" collapsed="false">
      <c r="A109" s="317" t="str">
        <f aca="false">HYPERLINK("https://phillipreeve.net/blog/fe-lenses-sony-comprehensive-independent-guide/","Our Guide to FE-mount lenses - If you need any help on finding the right lens.")</f>
        <v>Our Guide to FE-mount lenses - If you need any help on finding the right lens.</v>
      </c>
      <c r="E109" s="302"/>
      <c r="F109" s="310"/>
      <c r="H109" s="298"/>
    </row>
    <row r="110" customFormat="false" ht="15.75" hidden="true" customHeight="false" outlineLevel="0" collapsed="false">
      <c r="A110" s="317" t="str">
        <f aca="false">HYPERLINK("https://phillipreeve.net/blog/9-golden-rules-to-buy-the-wrong-lens/","10 golden rules to buy the wrong lens.")</f>
        <v>10 golden rules to buy the wrong lens.</v>
      </c>
      <c r="E110" s="302"/>
      <c r="F110" s="310"/>
      <c r="H110" s="298"/>
    </row>
    <row r="111" customFormat="false" ht="15.75" hidden="true" customHeight="false" outlineLevel="0" collapsed="false">
      <c r="A111" s="317" t="str">
        <f aca="false">HYPERLINK("https://phillipreeve.net/blog/user-guide-ultra-wideangle-lenses-sony-alpha-7-series/","Our Guide to Ultra-Wideangle lenses")</f>
        <v>Our Guide to Ultra-Wideangle lenses</v>
      </c>
      <c r="E111" s="302"/>
      <c r="F111" s="310"/>
      <c r="H111" s="298"/>
    </row>
    <row r="112" customFormat="false" ht="15.75" hidden="true" customHeight="false" outlineLevel="0" collapsed="false">
      <c r="A112" s="317" t="str">
        <f aca="false">HYPERLINK("https://phillipreeve.net/blog/wideangle-lenses-for-the-sony-alpha-7-series/","Our Guide to Wideangle lenses")</f>
        <v>Our Guide to Wideangle lenses</v>
      </c>
      <c r="E112" s="302"/>
      <c r="F112" s="310"/>
      <c r="H112" s="298"/>
    </row>
    <row r="113" customFormat="false" ht="15.75" hidden="true" customHeight="false" outlineLevel="0" collapsed="false">
      <c r="A113" s="317" t="str">
        <f aca="false">HYPERLINK("https://phillipreeve.net/blog/guide-to-macro-lenses-for-the-sony-a7-series/","Our Guide to Macro lenses")</f>
        <v>Our Guide to Macro lenses</v>
      </c>
      <c r="E113" s="302"/>
      <c r="F113" s="310"/>
      <c r="H113" s="298"/>
    </row>
    <row r="114" customFormat="false" ht="15.75" hidden="true" customHeight="false" outlineLevel="0" collapsed="false">
      <c r="A114" s="317" t="str">
        <f aca="false">HYPERLINK("https://phillipreeve.net/blog/user-guide-to-portrait-lenses-sony-a7-series/","Our Guide to Portrait lenses")</f>
        <v>Our Guide to Portrait lenses</v>
      </c>
      <c r="E114" s="302"/>
      <c r="F114" s="310"/>
      <c r="H114" s="298"/>
    </row>
    <row r="115" customFormat="false" ht="15.75" hidden="true" customHeight="false" outlineLevel="0" collapsed="false">
      <c r="A115" s="317" t="str">
        <f aca="false">HYPERLINK("https://phillipreeve.net/blog/building-a-lens-kit/","Building a lens kit")</f>
        <v>Building a lens kit</v>
      </c>
      <c r="E115" s="302"/>
      <c r="F115" s="310"/>
      <c r="H115" s="298"/>
    </row>
    <row r="116" customFormat="false" ht="15.75" hidden="true" customHeight="false" outlineLevel="0" collapsed="false">
      <c r="A116" s="69"/>
    </row>
    <row r="117" customFormat="false" ht="15.75" hidden="true" customHeight="false" outlineLevel="0" collapsed="false">
      <c r="A117" s="294" t="s">
        <v>186</v>
      </c>
    </row>
    <row r="118" customFormat="false" ht="15.75" hidden="true" customHeight="false" outlineLevel="0" collapsed="false">
      <c r="A118" s="69" t="s">
        <v>187</v>
      </c>
    </row>
    <row r="119" customFormat="false" ht="15.75" hidden="true" customHeight="false" outlineLevel="0" collapsed="false">
      <c r="A119" s="69" t="s">
        <v>188</v>
      </c>
    </row>
    <row r="120" customFormat="false" ht="15.75" hidden="true" customHeight="false" outlineLevel="0" collapsed="false">
      <c r="A120" s="69" t="s">
        <v>189</v>
      </c>
    </row>
    <row r="121" customFormat="false" ht="15.75" hidden="true" customHeight="false" outlineLevel="0" collapsed="false">
      <c r="A121" s="69" t="s">
        <v>190</v>
      </c>
    </row>
    <row r="122" customFormat="false" ht="15.75" hidden="true" customHeight="false" outlineLevel="0" collapsed="false">
      <c r="A122" s="294"/>
    </row>
    <row r="123" customFormat="false" ht="15.75" hidden="true" customHeight="false" outlineLevel="0" collapsed="false">
      <c r="A123" s="294" t="s">
        <v>191</v>
      </c>
    </row>
    <row r="124" customFormat="false" ht="15.75" hidden="true" customHeight="false" outlineLevel="0" collapsed="false">
      <c r="A124" s="69" t="s">
        <v>271</v>
      </c>
      <c r="D124" s="294"/>
    </row>
    <row r="125" customFormat="false" ht="15.75" hidden="true" customHeight="false" outlineLevel="0" collapsed="false">
      <c r="A125" s="69" t="s">
        <v>192</v>
      </c>
      <c r="D125" s="294"/>
    </row>
    <row r="126" customFormat="false" ht="15.75" hidden="true" customHeight="false" outlineLevel="0" collapsed="false"/>
    <row r="127" customFormat="false" ht="15.75" hidden="true" customHeight="false" outlineLevel="0" collapsed="false">
      <c r="A127" s="317" t="str">
        <f aca="false">HYPERLINK("https://phillipreeve.net/blog/impressum/","Impressum")</f>
        <v>Impressum</v>
      </c>
    </row>
    <row r="128" customFormat="false" ht="15.75" hidden="true" customHeight="false" outlineLevel="0" collapsed="false"/>
    <row r="129" customFormat="false" ht="15.75" hidden="true" customHeight="false" outlineLevel="0" collapsed="false"/>
    <row r="130" customFormat="false" ht="15.75" hidden="true" customHeight="false" outlineLevel="0" collapsed="false"/>
    <row r="131" customFormat="false" ht="15.75" hidden="true" customHeight="false" outlineLevel="0" collapsed="false"/>
    <row r="132" customFormat="false" ht="15.75" hidden="true" customHeight="false" outlineLevel="0" collapsed="false"/>
    <row r="133" customFormat="false" ht="15.75" hidden="true" customHeight="false" outlineLevel="0" collapsed="false">
      <c r="A133" s="294"/>
    </row>
    <row r="134" customFormat="false" ht="15.75" hidden="true" customHeight="false" outlineLevel="0" collapsed="false">
      <c r="A134" s="294"/>
    </row>
    <row r="135" customFormat="false" ht="15.75" hidden="true" customHeight="false" outlineLevel="0" collapsed="false">
      <c r="A135" s="294"/>
    </row>
    <row r="136" customFormat="false" ht="15.75" hidden="true" customHeight="false" outlineLevel="0" collapsed="false">
      <c r="A136" s="294"/>
    </row>
    <row r="137" customFormat="false" ht="15.75" hidden="true" customHeight="false" outlineLevel="0" collapsed="false">
      <c r="A137" s="294"/>
    </row>
    <row r="138" customFormat="false" ht="15.75" hidden="true" customHeight="false" outlineLevel="0" collapsed="false">
      <c r="A138" s="294"/>
    </row>
    <row r="139" customFormat="false" ht="15.75" hidden="true" customHeight="false" outlineLevel="0" collapsed="false">
      <c r="A139" s="294"/>
    </row>
    <row r="140" customFormat="false" ht="15.75" hidden="true" customHeight="false" outlineLevel="0" collapsed="false">
      <c r="A140" s="294"/>
    </row>
    <row r="141" customFormat="false" ht="15.75" hidden="true" customHeight="false" outlineLevel="0" collapsed="false">
      <c r="A141" s="294"/>
    </row>
    <row r="142" customFormat="false" ht="15.75" hidden="true" customHeight="false" outlineLevel="0" collapsed="false">
      <c r="A142" s="294"/>
    </row>
    <row r="143" customFormat="false" ht="15.75" hidden="true" customHeight="false" outlineLevel="0" collapsed="false">
      <c r="A143" s="294"/>
    </row>
    <row r="144" customFormat="false" ht="15.75" hidden="true" customHeight="false" outlineLevel="0" collapsed="false">
      <c r="A144" s="294"/>
    </row>
    <row r="145" customFormat="false" ht="15.75" hidden="true" customHeight="false" outlineLevel="0" collapsed="false">
      <c r="A145" s="294"/>
    </row>
    <row r="146" customFormat="false" ht="15.75" hidden="true" customHeight="false" outlineLevel="0" collapsed="false">
      <c r="A146" s="294"/>
    </row>
    <row r="147" customFormat="false" ht="15.75" hidden="true" customHeight="false" outlineLevel="0" collapsed="false">
      <c r="A147" s="294"/>
    </row>
    <row r="148" customFormat="false" ht="15.75" hidden="true" customHeight="false" outlineLevel="0" collapsed="false">
      <c r="A148" s="294"/>
    </row>
    <row r="149" customFormat="false" ht="15.75" hidden="true" customHeight="false" outlineLevel="0" collapsed="false">
      <c r="A149" s="294"/>
    </row>
    <row r="150" customFormat="false" ht="15.75" hidden="true" customHeight="false" outlineLevel="0" collapsed="false">
      <c r="A150" s="294"/>
    </row>
    <row r="151" customFormat="false" ht="15.75" hidden="true" customHeight="false" outlineLevel="0" collapsed="false">
      <c r="A151" s="294"/>
    </row>
    <row r="152" customFormat="false" ht="15.75" hidden="true" customHeight="false" outlineLevel="0" collapsed="false">
      <c r="A152" s="294"/>
    </row>
    <row r="153" customFormat="false" ht="15.75" hidden="true" customHeight="false" outlineLevel="0" collapsed="false">
      <c r="A153" s="294"/>
    </row>
    <row r="154" customFormat="false" ht="15.75" hidden="true" customHeight="false" outlineLevel="0" collapsed="false"/>
    <row r="155" customFormat="false" ht="15.75" hidden="true" customHeight="false" outlineLevel="0" collapsed="false"/>
    <row r="156" customFormat="false" ht="15.75" hidden="true" customHeight="false" outlineLevel="0" collapsed="false"/>
    <row r="157" customFormat="false" ht="15.75" hidden="true" customHeight="false" outlineLevel="0" collapsed="false"/>
    <row r="158" customFormat="false" ht="15.75" hidden="true" customHeight="false" outlineLevel="0" collapsed="false"/>
    <row r="159" customFormat="false" ht="15.75" hidden="true" customHeight="false" outlineLevel="0" collapsed="false"/>
    <row r="160" customFormat="false" ht="15.75" hidden="true" customHeight="false" outlineLevel="0" collapsed="false"/>
    <row r="161" customFormat="false" ht="15.75" hidden="true" customHeight="false" outlineLevel="0" collapsed="false"/>
    <row r="162" customFormat="false" ht="15.75" hidden="true" customHeight="false" outlineLevel="0" collapsed="false"/>
    <row r="163" customFormat="false" ht="15.75" hidden="true" customHeight="false" outlineLevel="0" collapsed="false"/>
    <row r="164" customFormat="false" ht="15.75" hidden="true" customHeight="false" outlineLevel="0" collapsed="false"/>
    <row r="165" customFormat="false" ht="15.75" hidden="true" customHeight="false" outlineLevel="0" collapsed="false"/>
    <row r="166" customFormat="false" ht="15.75" hidden="true" customHeight="false" outlineLevel="0" collapsed="false"/>
    <row r="167" customFormat="false" ht="15.75" hidden="true" customHeight="false" outlineLevel="0" collapsed="false"/>
    <row r="168" customFormat="false" ht="15.75" hidden="true" customHeight="false" outlineLevel="0" collapsed="false"/>
    <row r="169" customFormat="false" ht="15.75" hidden="true" customHeight="false" outlineLevel="0" collapsed="false"/>
    <row r="170" customFormat="false" ht="15.75" hidden="true" customHeight="false" outlineLevel="0" collapsed="false"/>
    <row r="171" customFormat="false" ht="15.75" hidden="true" customHeight="false" outlineLevel="0" collapsed="false"/>
    <row r="172" customFormat="false" ht="15.75" hidden="true" customHeight="false" outlineLevel="0" collapsed="false"/>
    <row r="173" customFormat="false" ht="15.75" hidden="true" customHeight="false" outlineLevel="0" collapsed="false"/>
    <row r="174" customFormat="false" ht="15.75" hidden="true" customHeight="false" outlineLevel="0" collapsed="false"/>
    <row r="175" customFormat="false" ht="15.75" hidden="true" customHeight="false" outlineLevel="0" collapsed="false"/>
    <row r="176" customFormat="false" ht="15.75" hidden="true" customHeight="false" outlineLevel="0" collapsed="false"/>
    <row r="177" customFormat="false" ht="15.75" hidden="true" customHeight="false" outlineLevel="0" collapsed="false"/>
    <row r="178" customFormat="false" ht="15.75" hidden="true" customHeight="false" outlineLevel="0" collapsed="false"/>
    <row r="179" customFormat="false" ht="15.75" hidden="true" customHeight="false" outlineLevel="0" collapsed="false"/>
    <row r="180" customFormat="false" ht="15.75" hidden="true" customHeight="false" outlineLevel="0" collapsed="false"/>
    <row r="181" customFormat="false" ht="15.75" hidden="true" customHeight="false" outlineLevel="0" collapsed="false"/>
    <row r="182" customFormat="false" ht="15.75" hidden="true" customHeight="false" outlineLevel="0" collapsed="false"/>
    <row r="183" customFormat="false" ht="15.75" hidden="true" customHeight="false" outlineLevel="0" collapsed="false"/>
    <row r="184" customFormat="false" ht="15.75" hidden="true" customHeight="false" outlineLevel="0" collapsed="false"/>
    <row r="185" customFormat="false" ht="15.75" hidden="true" customHeight="false" outlineLevel="0" collapsed="false"/>
    <row r="186" customFormat="false" ht="15.75" hidden="true" customHeight="false" outlineLevel="0" collapsed="false"/>
    <row r="187" customFormat="false" ht="15.75" hidden="true" customHeight="false" outlineLevel="0" collapsed="false"/>
    <row r="188" customFormat="false" ht="15.75" hidden="true" customHeight="false" outlineLevel="0" collapsed="false"/>
    <row r="189" customFormat="false" ht="15.75" hidden="true" customHeight="false" outlineLevel="0" collapsed="false"/>
    <row r="190" customFormat="false" ht="15.75" hidden="true" customHeight="false" outlineLevel="0" collapsed="false"/>
    <row r="191" customFormat="false" ht="15.75" hidden="true" customHeight="false" outlineLevel="0" collapsed="false"/>
    <row r="192" customFormat="false" ht="15.75" hidden="true" customHeight="false" outlineLevel="0" collapsed="false"/>
    <row r="193" customFormat="false" ht="15.75" hidden="true" customHeight="false" outlineLevel="0" collapsed="false"/>
    <row r="194" customFormat="false" ht="15.75" hidden="true" customHeight="false" outlineLevel="0" collapsed="false"/>
    <row r="195" customFormat="false" ht="15.75" hidden="true" customHeight="false" outlineLevel="0" collapsed="false"/>
    <row r="196" customFormat="false" ht="15.75" hidden="true" customHeight="false" outlineLevel="0" collapsed="false"/>
    <row r="197" customFormat="false" ht="15.75" hidden="true" customHeight="false" outlineLevel="0" collapsed="false"/>
    <row r="198" customFormat="false" ht="15.75" hidden="true" customHeight="false" outlineLevel="0" collapsed="false"/>
    <row r="199" customFormat="false" ht="15.75" hidden="true" customHeight="false" outlineLevel="0" collapsed="false"/>
    <row r="200" customFormat="false" ht="15.75" hidden="true" customHeight="false" outlineLevel="0" collapsed="false"/>
    <row r="201" customFormat="false" ht="15.75" hidden="true" customHeight="false" outlineLevel="0" collapsed="false"/>
    <row r="202" customFormat="false" ht="15.75" hidden="true" customHeight="false" outlineLevel="0" collapsed="false"/>
    <row r="203" customFormat="false" ht="15.75" hidden="true" customHeight="false" outlineLevel="0" collapsed="false"/>
    <row r="204" customFormat="false" ht="15.75" hidden="true" customHeight="false" outlineLevel="0" collapsed="false"/>
    <row r="205" customFormat="false" ht="15.75" hidden="true" customHeight="false" outlineLevel="0" collapsed="false"/>
    <row r="206" customFormat="false" ht="15.75" hidden="true" customHeight="false" outlineLevel="0" collapsed="false"/>
    <row r="207" customFormat="false" ht="15.75" hidden="true" customHeight="false" outlineLevel="0" collapsed="false"/>
    <row r="208" customFormat="false" ht="15.75" hidden="true" customHeight="false" outlineLevel="0" collapsed="false"/>
    <row r="209" customFormat="false" ht="15.75" hidden="true" customHeight="false" outlineLevel="0" collapsed="false"/>
    <row r="210" customFormat="false" ht="15.75" hidden="true" customHeight="false" outlineLevel="0" collapsed="false"/>
    <row r="211" customFormat="false" ht="15.75" hidden="true" customHeight="false" outlineLevel="0" collapsed="false"/>
    <row r="212" customFormat="false" ht="15.75" hidden="true" customHeight="false" outlineLevel="0" collapsed="false"/>
    <row r="213" customFormat="false" ht="15.75" hidden="true" customHeight="false" outlineLevel="0" collapsed="false"/>
    <row r="214" customFormat="false" ht="15.75" hidden="true" customHeight="false" outlineLevel="0" collapsed="false"/>
    <row r="215" customFormat="false" ht="15.75" hidden="true" customHeight="false" outlineLevel="0" collapsed="false"/>
    <row r="216" customFormat="false" ht="15.75" hidden="true" customHeight="false" outlineLevel="0" collapsed="false"/>
    <row r="217" customFormat="false" ht="15.75" hidden="true" customHeight="false" outlineLevel="0" collapsed="false"/>
    <row r="218" customFormat="false" ht="15.75" hidden="true" customHeight="false" outlineLevel="0" collapsed="false"/>
    <row r="219" customFormat="false" ht="15.75" hidden="true" customHeight="false" outlineLevel="0" collapsed="false"/>
    <row r="220" customFormat="false" ht="15.75" hidden="true" customHeight="false" outlineLevel="0" collapsed="false"/>
    <row r="221" customFormat="false" ht="15.75" hidden="true" customHeight="false" outlineLevel="0" collapsed="false"/>
    <row r="222" customFormat="false" ht="15.75" hidden="true" customHeight="false" outlineLevel="0" collapsed="false"/>
    <row r="223" customFormat="false" ht="15.75" hidden="true" customHeight="false" outlineLevel="0" collapsed="false"/>
    <row r="224" customFormat="false" ht="15.75" hidden="true" customHeight="false" outlineLevel="0" collapsed="false"/>
    <row r="225" customFormat="false" ht="15.75" hidden="true" customHeight="false" outlineLevel="0" collapsed="false"/>
    <row r="226" customFormat="false" ht="15.75" hidden="true" customHeight="false" outlineLevel="0" collapsed="false"/>
    <row r="227" customFormat="false" ht="15.75" hidden="true" customHeight="false" outlineLevel="0" collapsed="false"/>
    <row r="228" customFormat="false" ht="15.75" hidden="true" customHeight="false" outlineLevel="0" collapsed="false"/>
    <row r="229" customFormat="false" ht="15.75" hidden="true" customHeight="false" outlineLevel="0" collapsed="false"/>
    <row r="230" customFormat="false" ht="15.75" hidden="true" customHeight="false" outlineLevel="0" collapsed="false"/>
    <row r="231" customFormat="false" ht="15.75" hidden="true" customHeight="false" outlineLevel="0" collapsed="false"/>
    <row r="232" customFormat="false" ht="15.75" hidden="true" customHeight="false" outlineLevel="0" collapsed="false"/>
    <row r="233" customFormat="false" ht="15.75" hidden="true" customHeight="false" outlineLevel="0" collapsed="false"/>
    <row r="234" customFormat="false" ht="15.75" hidden="true" customHeight="false" outlineLevel="0" collapsed="false"/>
    <row r="235" customFormat="false" ht="15.75" hidden="true" customHeight="false" outlineLevel="0" collapsed="false"/>
    <row r="236" customFormat="false" ht="15.75" hidden="true" customHeight="false" outlineLevel="0" collapsed="false"/>
    <row r="237" customFormat="false" ht="15.75" hidden="true" customHeight="false" outlineLevel="0" collapsed="false"/>
    <row r="238" customFormat="false" ht="15.75" hidden="true" customHeight="false" outlineLevel="0" collapsed="false"/>
    <row r="239" customFormat="false" ht="15.75" hidden="true" customHeight="false" outlineLevel="0" collapsed="false"/>
    <row r="240" customFormat="false" ht="15.75" hidden="true" customHeight="false" outlineLevel="0" collapsed="false"/>
    <row r="241" customFormat="false" ht="15.75" hidden="true" customHeight="false" outlineLevel="0" collapsed="false"/>
    <row r="242" customFormat="false" ht="15.75" hidden="true" customHeight="false" outlineLevel="0" collapsed="false"/>
    <row r="243" customFormat="false" ht="15.75" hidden="true" customHeight="false" outlineLevel="0" collapsed="false"/>
    <row r="244" customFormat="false" ht="15.75" hidden="true" customHeight="false" outlineLevel="0" collapsed="false"/>
    <row r="245" customFormat="false" ht="15.75" hidden="true" customHeight="false" outlineLevel="0" collapsed="false"/>
    <row r="246" customFormat="false" ht="15.75" hidden="true" customHeight="false" outlineLevel="0" collapsed="false"/>
    <row r="247" customFormat="false" ht="15.75" hidden="true" customHeight="false" outlineLevel="0" collapsed="false"/>
    <row r="248" customFormat="false" ht="15.75" hidden="true" customHeight="false" outlineLevel="0" collapsed="false"/>
    <row r="249" customFormat="false" ht="15.75" hidden="true" customHeight="false" outlineLevel="0" collapsed="false"/>
    <row r="250" customFormat="false" ht="15.75" hidden="true" customHeight="false" outlineLevel="0" collapsed="false"/>
    <row r="251" customFormat="false" ht="15.75" hidden="true" customHeight="false" outlineLevel="0" collapsed="false"/>
    <row r="252" customFormat="false" ht="15.75" hidden="true" customHeight="false" outlineLevel="0" collapsed="false"/>
    <row r="253" customFormat="false" ht="15.75" hidden="true" customHeight="false" outlineLevel="0" collapsed="false"/>
    <row r="254" customFormat="false" ht="15.75" hidden="true" customHeight="false" outlineLevel="0" collapsed="false"/>
    <row r="255" customFormat="false" ht="15.75" hidden="true" customHeight="false" outlineLevel="0" collapsed="false"/>
    <row r="256" customFormat="false" ht="15.75" hidden="true" customHeight="false" outlineLevel="0" collapsed="false"/>
    <row r="257" customFormat="false" ht="15.75" hidden="true" customHeight="false" outlineLevel="0" collapsed="false"/>
    <row r="258" customFormat="false" ht="15.75" hidden="true" customHeight="false" outlineLevel="0" collapsed="false"/>
    <row r="259" customFormat="false" ht="15.75" hidden="true" customHeight="false" outlineLevel="0" collapsed="false"/>
    <row r="260" customFormat="false" ht="15.75" hidden="true" customHeight="false" outlineLevel="0" collapsed="false"/>
    <row r="261" customFormat="false" ht="15.75" hidden="true" customHeight="false" outlineLevel="0" collapsed="false"/>
    <row r="262" customFormat="false" ht="15.75" hidden="true" customHeight="false" outlineLevel="0" collapsed="false"/>
    <row r="263" customFormat="false" ht="15.75" hidden="true" customHeight="false" outlineLevel="0" collapsed="false"/>
    <row r="264" customFormat="false" ht="15.75" hidden="true" customHeight="false" outlineLevel="0" collapsed="false"/>
    <row r="265" customFormat="false" ht="15.75" hidden="true" customHeight="false" outlineLevel="0" collapsed="false"/>
    <row r="266" customFormat="false" ht="15.75" hidden="true" customHeight="false" outlineLevel="0" collapsed="false"/>
    <row r="267" customFormat="false" ht="15.75" hidden="true" customHeight="false" outlineLevel="0" collapsed="false"/>
    <row r="268" customFormat="false" ht="15.75" hidden="true" customHeight="false" outlineLevel="0" collapsed="false"/>
    <row r="269" customFormat="false" ht="15.75" hidden="true" customHeight="false" outlineLevel="0" collapsed="false"/>
    <row r="270" customFormat="false" ht="15.75" hidden="true" customHeight="false" outlineLevel="0" collapsed="false"/>
    <row r="271" customFormat="false" ht="15.75" hidden="true" customHeight="false" outlineLevel="0" collapsed="false"/>
    <row r="272" customFormat="false" ht="15.75" hidden="true" customHeight="false" outlineLevel="0" collapsed="false"/>
    <row r="273" customFormat="false" ht="15.75" hidden="true" customHeight="false" outlineLevel="0" collapsed="false"/>
    <row r="274" customFormat="false" ht="15.75" hidden="true" customHeight="false" outlineLevel="0" collapsed="false"/>
    <row r="275" customFormat="false" ht="15.75" hidden="true" customHeight="false" outlineLevel="0" collapsed="false"/>
    <row r="276" customFormat="false" ht="15.75" hidden="true" customHeight="false" outlineLevel="0" collapsed="false"/>
    <row r="277" customFormat="false" ht="15.75" hidden="true" customHeight="false" outlineLevel="0" collapsed="false"/>
    <row r="278" customFormat="false" ht="15.75" hidden="true" customHeight="false" outlineLevel="0" collapsed="false"/>
    <row r="279" customFormat="false" ht="15.75" hidden="true" customHeight="false" outlineLevel="0" collapsed="false"/>
    <row r="280" customFormat="false" ht="15.75" hidden="true" customHeight="false" outlineLevel="0" collapsed="false"/>
    <row r="281" customFormat="false" ht="15.75" hidden="true" customHeight="false" outlineLevel="0" collapsed="false"/>
    <row r="282" customFormat="false" ht="15.75" hidden="true" customHeight="false" outlineLevel="0" collapsed="false"/>
    <row r="283" customFormat="false" ht="15.75" hidden="true" customHeight="false" outlineLevel="0" collapsed="false"/>
    <row r="284" customFormat="false" ht="15.75" hidden="true" customHeight="false" outlineLevel="0" collapsed="false"/>
    <row r="285" customFormat="false" ht="15.75" hidden="true" customHeight="false" outlineLevel="0" collapsed="false"/>
    <row r="286" customFormat="false" ht="15.75" hidden="true" customHeight="false" outlineLevel="0" collapsed="false"/>
    <row r="287" customFormat="false" ht="15.75" hidden="true" customHeight="false" outlineLevel="0" collapsed="false"/>
    <row r="288" customFormat="false" ht="15.75" hidden="true" customHeight="false" outlineLevel="0" collapsed="false"/>
    <row r="289" customFormat="false" ht="15.75" hidden="true" customHeight="false" outlineLevel="0" collapsed="false"/>
    <row r="290" customFormat="false" ht="15.75" hidden="true" customHeight="false" outlineLevel="0" collapsed="false"/>
    <row r="291" customFormat="false" ht="15.75" hidden="true" customHeight="false" outlineLevel="0" collapsed="false"/>
    <row r="292" customFormat="false" ht="15.75" hidden="true" customHeight="false" outlineLevel="0" collapsed="false"/>
    <row r="293" customFormat="false" ht="15.75" hidden="true" customHeight="false" outlineLevel="0" collapsed="false"/>
    <row r="294" customFormat="false" ht="15.75" hidden="true" customHeight="false" outlineLevel="0" collapsed="false"/>
    <row r="295" customFormat="false" ht="15.75" hidden="true" customHeight="false" outlineLevel="0" collapsed="false"/>
    <row r="296" customFormat="false" ht="15.75" hidden="true" customHeight="false" outlineLevel="0" collapsed="false"/>
    <row r="297" customFormat="false" ht="15.75" hidden="true" customHeight="false" outlineLevel="0" collapsed="false"/>
    <row r="298" customFormat="false" ht="15.75" hidden="true" customHeight="false" outlineLevel="0" collapsed="false"/>
    <row r="299" customFormat="false" ht="15.75" hidden="true" customHeight="false" outlineLevel="0" collapsed="false"/>
    <row r="300" customFormat="false" ht="15.75" hidden="true" customHeight="false" outlineLevel="0" collapsed="false"/>
    <row r="301" customFormat="false" ht="15.75" hidden="true" customHeight="false" outlineLevel="0" collapsed="false"/>
    <row r="302" customFormat="false" ht="15.75" hidden="true" customHeight="false" outlineLevel="0" collapsed="false"/>
    <row r="303" customFormat="false" ht="15.75" hidden="true" customHeight="false" outlineLevel="0" collapsed="false"/>
    <row r="304" customFormat="false" ht="15.75" hidden="true" customHeight="false" outlineLevel="0" collapsed="false"/>
    <row r="305" customFormat="false" ht="15.75" hidden="true" customHeight="false" outlineLevel="0" collapsed="false"/>
    <row r="306" customFormat="false" ht="15.75" hidden="true" customHeight="false" outlineLevel="0" collapsed="false"/>
    <row r="307" customFormat="false" ht="15.75" hidden="true" customHeight="false" outlineLevel="0" collapsed="false"/>
    <row r="308" customFormat="false" ht="15.75" hidden="true" customHeight="false" outlineLevel="0" collapsed="false"/>
    <row r="309" customFormat="false" ht="15.75" hidden="true" customHeight="false" outlineLevel="0" collapsed="false"/>
    <row r="310" customFormat="false" ht="15.75" hidden="true" customHeight="false" outlineLevel="0" collapsed="false"/>
    <row r="311" customFormat="false" ht="15.75" hidden="true" customHeight="false" outlineLevel="0" collapsed="false"/>
    <row r="312" customFormat="false" ht="15.75" hidden="true" customHeight="false" outlineLevel="0" collapsed="false"/>
    <row r="313" customFormat="false" ht="15.75" hidden="true" customHeight="false" outlineLevel="0" collapsed="false"/>
    <row r="314" customFormat="false" ht="15.75" hidden="true" customHeight="false" outlineLevel="0" collapsed="false"/>
    <row r="315" customFormat="false" ht="15.75" hidden="true" customHeight="false" outlineLevel="0" collapsed="false"/>
    <row r="316" customFormat="false" ht="15.75" hidden="true" customHeight="false" outlineLevel="0" collapsed="false"/>
    <row r="317" customFormat="false" ht="15.75" hidden="true" customHeight="false" outlineLevel="0" collapsed="false"/>
    <row r="318" customFormat="false" ht="15.75" hidden="true" customHeight="false" outlineLevel="0" collapsed="false"/>
    <row r="319" customFormat="false" ht="15.75" hidden="true" customHeight="false" outlineLevel="0" collapsed="false"/>
    <row r="320" customFormat="false" ht="15.75" hidden="true" customHeight="false" outlineLevel="0" collapsed="false"/>
    <row r="321" customFormat="false" ht="15.75" hidden="true" customHeight="false" outlineLevel="0" collapsed="false"/>
    <row r="322" customFormat="false" ht="15.75" hidden="true" customHeight="false" outlineLevel="0" collapsed="false"/>
    <row r="323" customFormat="false" ht="15.75" hidden="true" customHeight="false" outlineLevel="0" collapsed="false"/>
    <row r="324" customFormat="false" ht="15.75" hidden="true" customHeight="false" outlineLevel="0" collapsed="false"/>
    <row r="325" customFormat="false" ht="15.75" hidden="true" customHeight="false" outlineLevel="0" collapsed="false"/>
    <row r="326" customFormat="false" ht="15.75" hidden="true" customHeight="false" outlineLevel="0" collapsed="false"/>
    <row r="327" customFormat="false" ht="15.75" hidden="true" customHeight="false" outlineLevel="0" collapsed="false"/>
    <row r="328" customFormat="false" ht="15.75" hidden="true" customHeight="false" outlineLevel="0" collapsed="false"/>
    <row r="329" customFormat="false" ht="15.75" hidden="true" customHeight="false" outlineLevel="0" collapsed="false"/>
    <row r="330" customFormat="false" ht="15.75" hidden="true" customHeight="false" outlineLevel="0" collapsed="false"/>
    <row r="331" customFormat="false" ht="15.75" hidden="true" customHeight="false" outlineLevel="0" collapsed="false"/>
    <row r="332" customFormat="false" ht="15.75" hidden="true" customHeight="false" outlineLevel="0" collapsed="false"/>
    <row r="333" customFormat="false" ht="15.75" hidden="true" customHeight="false" outlineLevel="0" collapsed="false"/>
    <row r="334" customFormat="false" ht="15.75" hidden="true" customHeight="false" outlineLevel="0" collapsed="false"/>
    <row r="335" customFormat="false" ht="15.75" hidden="true" customHeight="false" outlineLevel="0" collapsed="false"/>
    <row r="336" customFormat="false" ht="15.75" hidden="true" customHeight="false" outlineLevel="0" collapsed="false"/>
    <row r="337" customFormat="false" ht="15.75" hidden="true" customHeight="false" outlineLevel="0" collapsed="false"/>
    <row r="338" customFormat="false" ht="15.75" hidden="true" customHeight="false" outlineLevel="0" collapsed="false"/>
    <row r="339" customFormat="false" ht="15.75" hidden="true" customHeight="false" outlineLevel="0" collapsed="false"/>
    <row r="340" customFormat="false" ht="15.75" hidden="true" customHeight="false" outlineLevel="0" collapsed="false"/>
    <row r="341" customFormat="false" ht="15.75" hidden="true" customHeight="false" outlineLevel="0" collapsed="false"/>
    <row r="342" customFormat="false" ht="15.75" hidden="true" customHeight="false" outlineLevel="0" collapsed="false"/>
    <row r="343" customFormat="false" ht="15.75" hidden="true" customHeight="false" outlineLevel="0" collapsed="false"/>
    <row r="344" customFormat="false" ht="15.75" hidden="true" customHeight="false" outlineLevel="0" collapsed="false"/>
    <row r="345" customFormat="false" ht="15.75" hidden="true" customHeight="false" outlineLevel="0" collapsed="false"/>
    <row r="346" customFormat="false" ht="15.75" hidden="true" customHeight="false" outlineLevel="0" collapsed="false"/>
    <row r="347" customFormat="false" ht="15.75" hidden="true" customHeight="false" outlineLevel="0" collapsed="false"/>
    <row r="348" customFormat="false" ht="15.75" hidden="true" customHeight="false" outlineLevel="0" collapsed="false"/>
    <row r="349" customFormat="false" ht="15.75" hidden="true" customHeight="false" outlineLevel="0" collapsed="false"/>
    <row r="350" customFormat="false" ht="15.75" hidden="true" customHeight="false" outlineLevel="0" collapsed="false"/>
    <row r="351" customFormat="false" ht="15.75" hidden="true" customHeight="false" outlineLevel="0" collapsed="false"/>
    <row r="352" customFormat="false" ht="15.75" hidden="true" customHeight="false" outlineLevel="0" collapsed="false"/>
    <row r="353" customFormat="false" ht="15.75" hidden="true" customHeight="false" outlineLevel="0" collapsed="false"/>
    <row r="354" customFormat="false" ht="15.75" hidden="true" customHeight="false" outlineLevel="0" collapsed="false"/>
    <row r="355" customFormat="false" ht="15.75" hidden="true" customHeight="false" outlineLevel="0" collapsed="false"/>
    <row r="356" customFormat="false" ht="15.75" hidden="true" customHeight="false" outlineLevel="0" collapsed="false"/>
    <row r="357" customFormat="false" ht="15.75" hidden="true" customHeight="false" outlineLevel="0" collapsed="false"/>
    <row r="358" customFormat="false" ht="15.75" hidden="true" customHeight="false" outlineLevel="0" collapsed="false"/>
    <row r="359" customFormat="false" ht="15.75" hidden="true" customHeight="false" outlineLevel="0" collapsed="false"/>
    <row r="360" customFormat="false" ht="15.75" hidden="true" customHeight="false" outlineLevel="0" collapsed="false"/>
    <row r="361" customFormat="false" ht="15.75" hidden="true" customHeight="false" outlineLevel="0" collapsed="false"/>
    <row r="362" customFormat="false" ht="15.75" hidden="true" customHeight="false" outlineLevel="0" collapsed="false"/>
    <row r="363" customFormat="false" ht="15.75" hidden="true" customHeight="false" outlineLevel="0" collapsed="false"/>
    <row r="364" customFormat="false" ht="15.75" hidden="true" customHeight="false" outlineLevel="0" collapsed="false"/>
    <row r="365" customFormat="false" ht="15.75" hidden="true" customHeight="false" outlineLevel="0" collapsed="false"/>
    <row r="366" customFormat="false" ht="15.75" hidden="true" customHeight="false" outlineLevel="0" collapsed="false"/>
    <row r="367" customFormat="false" ht="15.75" hidden="true" customHeight="false" outlineLevel="0" collapsed="false"/>
    <row r="368" customFormat="false" ht="15.75" hidden="true" customHeight="false" outlineLevel="0" collapsed="false"/>
    <row r="369" customFormat="false" ht="15.75" hidden="true" customHeight="false" outlineLevel="0" collapsed="false"/>
    <row r="370" customFormat="false" ht="15.75" hidden="true" customHeight="false" outlineLevel="0" collapsed="false"/>
    <row r="371" customFormat="false" ht="15.75" hidden="true" customHeight="false" outlineLevel="0" collapsed="false"/>
    <row r="372" customFormat="false" ht="15.75" hidden="true" customHeight="false" outlineLevel="0" collapsed="false"/>
    <row r="373" customFormat="false" ht="15.75" hidden="true" customHeight="false" outlineLevel="0" collapsed="false"/>
    <row r="374" customFormat="false" ht="15.75" hidden="true" customHeight="false" outlineLevel="0" collapsed="false"/>
    <row r="375" customFormat="false" ht="15.75" hidden="true" customHeight="false" outlineLevel="0" collapsed="false"/>
    <row r="376" customFormat="false" ht="15.75" hidden="true" customHeight="false" outlineLevel="0" collapsed="false"/>
    <row r="377" customFormat="false" ht="15.75" hidden="true" customHeight="false" outlineLevel="0" collapsed="false"/>
    <row r="378" customFormat="false" ht="15.75" hidden="true" customHeight="false" outlineLevel="0" collapsed="false"/>
    <row r="379" customFormat="false" ht="15.75" hidden="true" customHeight="false" outlineLevel="0" collapsed="false"/>
    <row r="380" customFormat="false" ht="15.75" hidden="true" customHeight="false" outlineLevel="0" collapsed="false"/>
    <row r="381" customFormat="false" ht="15.75" hidden="true" customHeight="false" outlineLevel="0" collapsed="false"/>
    <row r="382" customFormat="false" ht="15.75" hidden="true" customHeight="false" outlineLevel="0" collapsed="false"/>
    <row r="383" customFormat="false" ht="15.75" hidden="true" customHeight="false" outlineLevel="0" collapsed="false"/>
    <row r="384" customFormat="false" ht="15.75" hidden="true" customHeight="false" outlineLevel="0" collapsed="false"/>
    <row r="385" customFormat="false" ht="15.75" hidden="true" customHeight="false" outlineLevel="0" collapsed="false"/>
    <row r="386" customFormat="false" ht="15.75" hidden="true" customHeight="false" outlineLevel="0" collapsed="false"/>
    <row r="387" customFormat="false" ht="15.75" hidden="true" customHeight="false" outlineLevel="0" collapsed="false"/>
    <row r="388" customFormat="false" ht="15.75" hidden="true" customHeight="false" outlineLevel="0" collapsed="false"/>
    <row r="389" customFormat="false" ht="15.75" hidden="true" customHeight="false" outlineLevel="0" collapsed="false"/>
    <row r="390" customFormat="false" ht="15.75" hidden="true" customHeight="false" outlineLevel="0" collapsed="false"/>
    <row r="391" customFormat="false" ht="15.75" hidden="true" customHeight="false" outlineLevel="0" collapsed="false"/>
    <row r="392" customFormat="false" ht="15.75" hidden="true" customHeight="false" outlineLevel="0" collapsed="false"/>
    <row r="393" customFormat="false" ht="15.75" hidden="true" customHeight="false" outlineLevel="0" collapsed="false"/>
    <row r="394" customFormat="false" ht="15.75" hidden="true" customHeight="false" outlineLevel="0" collapsed="false"/>
    <row r="395" customFormat="false" ht="15.75" hidden="true" customHeight="false" outlineLevel="0" collapsed="false"/>
    <row r="396" customFormat="false" ht="15.75" hidden="true" customHeight="false" outlineLevel="0" collapsed="false"/>
    <row r="397" customFormat="false" ht="15.75" hidden="true" customHeight="false" outlineLevel="0" collapsed="false"/>
    <row r="398" customFormat="false" ht="15.75" hidden="true" customHeight="false" outlineLevel="0" collapsed="false"/>
    <row r="399" customFormat="false" ht="15.75" hidden="true" customHeight="false" outlineLevel="0" collapsed="false"/>
    <row r="400" customFormat="false" ht="15.75" hidden="true" customHeight="false" outlineLevel="0" collapsed="false"/>
    <row r="401" customFormat="false" ht="15.75" hidden="true" customHeight="false" outlineLevel="0" collapsed="false"/>
    <row r="402" customFormat="false" ht="15.75" hidden="true" customHeight="false" outlineLevel="0" collapsed="false"/>
    <row r="403" customFormat="false" ht="15.75" hidden="true" customHeight="false" outlineLevel="0" collapsed="false"/>
    <row r="404" customFormat="false" ht="15.75" hidden="true" customHeight="false" outlineLevel="0" collapsed="false"/>
    <row r="405" customFormat="false" ht="15.75" hidden="true" customHeight="false" outlineLevel="0" collapsed="false"/>
    <row r="406" customFormat="false" ht="15.75" hidden="true" customHeight="false" outlineLevel="0" collapsed="false"/>
    <row r="407" customFormat="false" ht="15.75" hidden="true" customHeight="false" outlineLevel="0" collapsed="false"/>
    <row r="408" customFormat="false" ht="15.75" hidden="true" customHeight="false" outlineLevel="0" collapsed="false"/>
    <row r="409" customFormat="false" ht="15.75" hidden="true" customHeight="false" outlineLevel="0" collapsed="false"/>
    <row r="410" customFormat="false" ht="15.75" hidden="true" customHeight="false" outlineLevel="0" collapsed="false"/>
    <row r="411" customFormat="false" ht="15.75" hidden="true" customHeight="false" outlineLevel="0" collapsed="false"/>
    <row r="412" customFormat="false" ht="15.75" hidden="true" customHeight="false" outlineLevel="0" collapsed="false"/>
    <row r="413" customFormat="false" ht="15.75" hidden="true" customHeight="false" outlineLevel="0" collapsed="false"/>
    <row r="414" customFormat="false" ht="15.75" hidden="true" customHeight="false" outlineLevel="0" collapsed="false"/>
    <row r="415" customFormat="false" ht="15.75" hidden="true" customHeight="false" outlineLevel="0" collapsed="false"/>
    <row r="416" customFormat="false" ht="15.75" hidden="true" customHeight="false" outlineLevel="0" collapsed="false"/>
    <row r="417" customFormat="false" ht="15.75" hidden="true" customHeight="false" outlineLevel="0" collapsed="false"/>
    <row r="418" customFormat="false" ht="15.75" hidden="true" customHeight="false" outlineLevel="0" collapsed="false"/>
    <row r="419" customFormat="false" ht="15.75" hidden="true" customHeight="false" outlineLevel="0" collapsed="false"/>
    <row r="420" customFormat="false" ht="15.75" hidden="true" customHeight="false" outlineLevel="0" collapsed="false"/>
    <row r="421" customFormat="false" ht="15.75" hidden="true" customHeight="false" outlineLevel="0" collapsed="false"/>
    <row r="422" customFormat="false" ht="15.75" hidden="true" customHeight="false" outlineLevel="0" collapsed="false"/>
    <row r="423" customFormat="false" ht="15.75" hidden="true" customHeight="false" outlineLevel="0" collapsed="false"/>
    <row r="424" customFormat="false" ht="15.75" hidden="true" customHeight="false" outlineLevel="0" collapsed="false"/>
    <row r="425" customFormat="false" ht="15.75" hidden="true" customHeight="false" outlineLevel="0" collapsed="false"/>
    <row r="426" customFormat="false" ht="15.75" hidden="true" customHeight="false" outlineLevel="0" collapsed="false"/>
    <row r="427" customFormat="false" ht="15.75" hidden="true" customHeight="false" outlineLevel="0" collapsed="false"/>
    <row r="428" customFormat="false" ht="15.75" hidden="true" customHeight="false" outlineLevel="0" collapsed="false"/>
    <row r="429" customFormat="false" ht="15.75" hidden="true" customHeight="false" outlineLevel="0" collapsed="false"/>
    <row r="430" customFormat="false" ht="15.75" hidden="true" customHeight="false" outlineLevel="0" collapsed="false"/>
    <row r="431" customFormat="false" ht="15.75" hidden="true" customHeight="false" outlineLevel="0" collapsed="false"/>
    <row r="432" customFormat="false" ht="15.75" hidden="true" customHeight="false" outlineLevel="0" collapsed="false"/>
    <row r="433" customFormat="false" ht="15.75" hidden="true" customHeight="false" outlineLevel="0" collapsed="false"/>
    <row r="434" customFormat="false" ht="15.75" hidden="true" customHeight="false" outlineLevel="0" collapsed="false"/>
    <row r="435" customFormat="false" ht="15.75" hidden="true" customHeight="false" outlineLevel="0" collapsed="false"/>
    <row r="436" customFormat="false" ht="15.75" hidden="true" customHeight="false" outlineLevel="0" collapsed="false"/>
    <row r="437" customFormat="false" ht="15.75" hidden="true" customHeight="false" outlineLevel="0" collapsed="false"/>
    <row r="438" customFormat="false" ht="15.75" hidden="true" customHeight="false" outlineLevel="0" collapsed="false"/>
    <row r="439" customFormat="false" ht="15.75" hidden="true" customHeight="false" outlineLevel="0" collapsed="false"/>
    <row r="440" customFormat="false" ht="15.75" hidden="true" customHeight="false" outlineLevel="0" collapsed="false"/>
    <row r="441" customFormat="false" ht="15.75" hidden="true" customHeight="false" outlineLevel="0" collapsed="false"/>
    <row r="442" customFormat="false" ht="15.75" hidden="true" customHeight="false" outlineLevel="0" collapsed="false"/>
    <row r="443" customFormat="false" ht="15.75" hidden="true" customHeight="false" outlineLevel="0" collapsed="false"/>
    <row r="444" customFormat="false" ht="15.75" hidden="true" customHeight="false" outlineLevel="0" collapsed="false"/>
    <row r="445" customFormat="false" ht="15.75" hidden="true" customHeight="false" outlineLevel="0" collapsed="false"/>
    <row r="446" customFormat="false" ht="15.75" hidden="true" customHeight="false" outlineLevel="0" collapsed="false"/>
    <row r="447" customFormat="false" ht="15.75" hidden="true" customHeight="false" outlineLevel="0" collapsed="false"/>
    <row r="448" customFormat="false" ht="15.75" hidden="true" customHeight="false" outlineLevel="0" collapsed="false"/>
    <row r="449" customFormat="false" ht="15.75" hidden="true" customHeight="false" outlineLevel="0" collapsed="false"/>
    <row r="450" customFormat="false" ht="15.75" hidden="true" customHeight="false" outlineLevel="0" collapsed="false"/>
    <row r="451" customFormat="false" ht="15.75" hidden="true" customHeight="false" outlineLevel="0" collapsed="false"/>
    <row r="452" customFormat="false" ht="15.75" hidden="true" customHeight="false" outlineLevel="0" collapsed="false"/>
    <row r="453" customFormat="false" ht="15.75" hidden="true" customHeight="false" outlineLevel="0" collapsed="false"/>
    <row r="454" customFormat="false" ht="15.75" hidden="true" customHeight="false" outlineLevel="0" collapsed="false"/>
    <row r="455" customFormat="false" ht="15.75" hidden="true" customHeight="false" outlineLevel="0" collapsed="false"/>
    <row r="456" customFormat="false" ht="15.75" hidden="true" customHeight="false" outlineLevel="0" collapsed="false"/>
    <row r="457" customFormat="false" ht="15.75" hidden="true" customHeight="false" outlineLevel="0" collapsed="false"/>
    <row r="458" customFormat="false" ht="15.75" hidden="true" customHeight="false" outlineLevel="0" collapsed="false"/>
    <row r="459" customFormat="false" ht="15.75" hidden="true" customHeight="false" outlineLevel="0" collapsed="false"/>
    <row r="460" customFormat="false" ht="15.75" hidden="true" customHeight="false" outlineLevel="0" collapsed="false"/>
    <row r="461" customFormat="false" ht="15.75" hidden="true" customHeight="false" outlineLevel="0" collapsed="false"/>
    <row r="462" customFormat="false" ht="15.75" hidden="true" customHeight="false" outlineLevel="0" collapsed="false"/>
    <row r="463" customFormat="false" ht="15.75" hidden="true" customHeight="false" outlineLevel="0" collapsed="false"/>
    <row r="464" customFormat="false" ht="15.75" hidden="true" customHeight="false" outlineLevel="0" collapsed="false"/>
    <row r="465" customFormat="false" ht="15.75" hidden="true" customHeight="false" outlineLevel="0" collapsed="false"/>
    <row r="466" customFormat="false" ht="15.75" hidden="true" customHeight="false" outlineLevel="0" collapsed="false"/>
    <row r="467" customFormat="false" ht="15.75" hidden="true" customHeight="false" outlineLevel="0" collapsed="false"/>
    <row r="468" customFormat="false" ht="15.75" hidden="true" customHeight="false" outlineLevel="0" collapsed="false"/>
    <row r="469" customFormat="false" ht="15.75" hidden="true" customHeight="false" outlineLevel="0" collapsed="false"/>
    <row r="470" customFormat="false" ht="15.75" hidden="true" customHeight="false" outlineLevel="0" collapsed="false"/>
    <row r="471" customFormat="false" ht="15.75" hidden="true" customHeight="false" outlineLevel="0" collapsed="false"/>
    <row r="472" customFormat="false" ht="15.75" hidden="true" customHeight="false" outlineLevel="0" collapsed="false"/>
    <row r="473" customFormat="false" ht="15.75" hidden="true" customHeight="false" outlineLevel="0" collapsed="false"/>
    <row r="474" customFormat="false" ht="15.75" hidden="true" customHeight="false" outlineLevel="0" collapsed="false"/>
    <row r="475" customFormat="false" ht="15.75" hidden="true" customHeight="false" outlineLevel="0" collapsed="false"/>
    <row r="476" customFormat="false" ht="15.75" hidden="true" customHeight="false" outlineLevel="0" collapsed="false"/>
    <row r="477" customFormat="false" ht="15.75" hidden="true" customHeight="false" outlineLevel="0" collapsed="false"/>
    <row r="478" customFormat="false" ht="15.75" hidden="true" customHeight="false" outlineLevel="0" collapsed="false"/>
    <row r="479" customFormat="false" ht="15.75" hidden="true" customHeight="false" outlineLevel="0" collapsed="false"/>
    <row r="480" customFormat="false" ht="15.75" hidden="true" customHeight="false" outlineLevel="0" collapsed="false"/>
    <row r="481" customFormat="false" ht="15.75" hidden="true" customHeight="false" outlineLevel="0" collapsed="false"/>
    <row r="482" customFormat="false" ht="15.75" hidden="true" customHeight="false" outlineLevel="0" collapsed="false"/>
    <row r="483" customFormat="false" ht="15.75" hidden="true" customHeight="false" outlineLevel="0" collapsed="false"/>
    <row r="484" customFormat="false" ht="15.75" hidden="true" customHeight="false" outlineLevel="0" collapsed="false"/>
    <row r="485" customFormat="false" ht="15.75" hidden="true" customHeight="false" outlineLevel="0" collapsed="false"/>
    <row r="486" customFormat="false" ht="15.75" hidden="true" customHeight="false" outlineLevel="0" collapsed="false"/>
    <row r="487" customFormat="false" ht="15.75" hidden="true" customHeight="false" outlineLevel="0" collapsed="false"/>
    <row r="488" customFormat="false" ht="15.75" hidden="true" customHeight="false" outlineLevel="0" collapsed="false"/>
    <row r="489" customFormat="false" ht="15.75" hidden="true" customHeight="false" outlineLevel="0" collapsed="false"/>
    <row r="490" customFormat="false" ht="15.75" hidden="true" customHeight="false" outlineLevel="0" collapsed="false"/>
    <row r="491" customFormat="false" ht="15.75" hidden="true" customHeight="false" outlineLevel="0" collapsed="false"/>
    <row r="492" customFormat="false" ht="15.75" hidden="true" customHeight="false" outlineLevel="0" collapsed="false"/>
    <row r="493" customFormat="false" ht="15.75" hidden="true" customHeight="false" outlineLevel="0" collapsed="false"/>
    <row r="494" customFormat="false" ht="15.75" hidden="true" customHeight="false" outlineLevel="0" collapsed="false"/>
    <row r="495" customFormat="false" ht="15.75" hidden="true" customHeight="false" outlineLevel="0" collapsed="false"/>
    <row r="496" customFormat="false" ht="15.75" hidden="true" customHeight="false" outlineLevel="0" collapsed="false"/>
    <row r="497" customFormat="false" ht="15.75" hidden="true" customHeight="false" outlineLevel="0" collapsed="false"/>
    <row r="498" customFormat="false" ht="15.75" hidden="true" customHeight="false" outlineLevel="0" collapsed="false"/>
    <row r="499" customFormat="false" ht="15.75" hidden="true" customHeight="false" outlineLevel="0" collapsed="false"/>
    <row r="500" customFormat="false" ht="15.75" hidden="true" customHeight="false" outlineLevel="0" collapsed="false"/>
    <row r="501" customFormat="false" ht="15.75" hidden="true" customHeight="false" outlineLevel="0" collapsed="false"/>
    <row r="502" customFormat="false" ht="15.75" hidden="true" customHeight="false" outlineLevel="0" collapsed="false"/>
    <row r="503" customFormat="false" ht="15.75" hidden="true" customHeight="false" outlineLevel="0" collapsed="false"/>
    <row r="504" customFormat="false" ht="15.75" hidden="true" customHeight="false" outlineLevel="0" collapsed="false"/>
    <row r="505" customFormat="false" ht="15.75" hidden="true" customHeight="false" outlineLevel="0" collapsed="false"/>
    <row r="506" customFormat="false" ht="15.75" hidden="true" customHeight="false" outlineLevel="0" collapsed="false"/>
    <row r="507" customFormat="false" ht="15.75" hidden="true" customHeight="false" outlineLevel="0" collapsed="false"/>
    <row r="508" customFormat="false" ht="15.75" hidden="true" customHeight="false" outlineLevel="0" collapsed="false"/>
    <row r="509" customFormat="false" ht="15.75" hidden="true" customHeight="false" outlineLevel="0" collapsed="false"/>
    <row r="510" customFormat="false" ht="15.75" hidden="true" customHeight="false" outlineLevel="0" collapsed="false"/>
    <row r="511" customFormat="false" ht="15.75" hidden="true" customHeight="false" outlineLevel="0" collapsed="false"/>
    <row r="512" customFormat="false" ht="15.75" hidden="true" customHeight="false" outlineLevel="0" collapsed="false"/>
    <row r="513" customFormat="false" ht="15.75" hidden="true" customHeight="false" outlineLevel="0" collapsed="false"/>
    <row r="514" customFormat="false" ht="15.75" hidden="true" customHeight="false" outlineLevel="0" collapsed="false"/>
    <row r="515" customFormat="false" ht="15.75" hidden="true" customHeight="false" outlineLevel="0" collapsed="false"/>
    <row r="516" customFormat="false" ht="15.75" hidden="true" customHeight="false" outlineLevel="0" collapsed="false"/>
    <row r="517" customFormat="false" ht="15.75" hidden="true" customHeight="false" outlineLevel="0" collapsed="false"/>
    <row r="518" customFormat="false" ht="15.75" hidden="true" customHeight="false" outlineLevel="0" collapsed="false"/>
    <row r="519" customFormat="false" ht="15.75" hidden="true" customHeight="false" outlineLevel="0" collapsed="false"/>
    <row r="520" customFormat="false" ht="15.75" hidden="true" customHeight="false" outlineLevel="0" collapsed="false"/>
    <row r="521" customFormat="false" ht="15.75" hidden="true" customHeight="false" outlineLevel="0" collapsed="false"/>
    <row r="522" customFormat="false" ht="15.75" hidden="true" customHeight="false" outlineLevel="0" collapsed="false"/>
    <row r="523" customFormat="false" ht="15.75" hidden="true" customHeight="false" outlineLevel="0" collapsed="false"/>
    <row r="524" customFormat="false" ht="15.75" hidden="true" customHeight="false" outlineLevel="0" collapsed="false"/>
    <row r="525" customFormat="false" ht="15.75" hidden="true" customHeight="false" outlineLevel="0" collapsed="false"/>
    <row r="526" customFormat="false" ht="15.75" hidden="true" customHeight="false" outlineLevel="0" collapsed="false"/>
    <row r="527" customFormat="false" ht="15.75" hidden="true" customHeight="false" outlineLevel="0" collapsed="false"/>
    <row r="528" customFormat="false" ht="15.75" hidden="true" customHeight="false" outlineLevel="0" collapsed="false"/>
    <row r="529" customFormat="false" ht="15.75" hidden="true" customHeight="false" outlineLevel="0" collapsed="false"/>
    <row r="530" customFormat="false" ht="15.75" hidden="true" customHeight="false" outlineLevel="0" collapsed="false"/>
    <row r="531" customFormat="false" ht="15.75" hidden="true" customHeight="false" outlineLevel="0" collapsed="false"/>
    <row r="532" customFormat="false" ht="15.75" hidden="true" customHeight="false" outlineLevel="0" collapsed="false"/>
    <row r="533" customFormat="false" ht="15.75" hidden="true" customHeight="false" outlineLevel="0" collapsed="false"/>
    <row r="534" customFormat="false" ht="15.75" hidden="true" customHeight="false" outlineLevel="0" collapsed="false"/>
    <row r="535" customFormat="false" ht="15.75" hidden="true" customHeight="false" outlineLevel="0" collapsed="false"/>
    <row r="536" customFormat="false" ht="15.75" hidden="true" customHeight="false" outlineLevel="0" collapsed="false"/>
    <row r="537" customFormat="false" ht="15.75" hidden="true" customHeight="false" outlineLevel="0" collapsed="false"/>
    <row r="538" customFormat="false" ht="15.75" hidden="true" customHeight="false" outlineLevel="0" collapsed="false"/>
    <row r="539" customFormat="false" ht="15.75" hidden="true" customHeight="false" outlineLevel="0" collapsed="false"/>
    <row r="540" customFormat="false" ht="15.75" hidden="true" customHeight="false" outlineLevel="0" collapsed="false"/>
    <row r="541" customFormat="false" ht="15.75" hidden="true" customHeight="false" outlineLevel="0" collapsed="false"/>
    <row r="542" customFormat="false" ht="15.75" hidden="true" customHeight="false" outlineLevel="0" collapsed="false"/>
    <row r="543" customFormat="false" ht="15.75" hidden="true" customHeight="false" outlineLevel="0" collapsed="false"/>
    <row r="544" customFormat="false" ht="15.75" hidden="true" customHeight="false" outlineLevel="0" collapsed="false"/>
    <row r="545" customFormat="false" ht="15.75" hidden="true" customHeight="false" outlineLevel="0" collapsed="false"/>
    <row r="546" customFormat="false" ht="15.75" hidden="true" customHeight="false" outlineLevel="0" collapsed="false"/>
    <row r="547" customFormat="false" ht="15.75" hidden="true" customHeight="false" outlineLevel="0" collapsed="false"/>
    <row r="548" customFormat="false" ht="15.75" hidden="true" customHeight="false" outlineLevel="0" collapsed="false"/>
    <row r="549" customFormat="false" ht="15.75" hidden="true" customHeight="false" outlineLevel="0" collapsed="false"/>
    <row r="550" customFormat="false" ht="15.75" hidden="true" customHeight="false" outlineLevel="0" collapsed="false"/>
    <row r="551" customFormat="false" ht="15.75" hidden="true" customHeight="false" outlineLevel="0" collapsed="false"/>
    <row r="552" customFormat="false" ht="15.75" hidden="true" customHeight="false" outlineLevel="0" collapsed="false"/>
    <row r="553" customFormat="false" ht="15.75" hidden="true" customHeight="false" outlineLevel="0" collapsed="false"/>
    <row r="554" customFormat="false" ht="15.75" hidden="true" customHeight="false" outlineLevel="0" collapsed="false"/>
    <row r="555" customFormat="false" ht="15.75" hidden="true" customHeight="false" outlineLevel="0" collapsed="false"/>
    <row r="556" customFormat="false" ht="15.75" hidden="true" customHeight="false" outlineLevel="0" collapsed="false"/>
    <row r="557" customFormat="false" ht="15.75" hidden="true" customHeight="false" outlineLevel="0" collapsed="false"/>
    <row r="558" customFormat="false" ht="15.75" hidden="true" customHeight="false" outlineLevel="0" collapsed="false"/>
    <row r="559" customFormat="false" ht="15.75" hidden="true" customHeight="false" outlineLevel="0" collapsed="false"/>
    <row r="560" customFormat="false" ht="15.75" hidden="true" customHeight="false" outlineLevel="0" collapsed="false"/>
    <row r="561" customFormat="false" ht="15.75" hidden="true" customHeight="false" outlineLevel="0" collapsed="false"/>
    <row r="562" customFormat="false" ht="15.75" hidden="true" customHeight="false" outlineLevel="0" collapsed="false"/>
    <row r="563" customFormat="false" ht="15.75" hidden="true" customHeight="false" outlineLevel="0" collapsed="false"/>
    <row r="564" customFormat="false" ht="15.75" hidden="true" customHeight="false" outlineLevel="0" collapsed="false"/>
    <row r="565" customFormat="false" ht="15.75" hidden="true" customHeight="false" outlineLevel="0" collapsed="false"/>
    <row r="566" customFormat="false" ht="15.75" hidden="true" customHeight="false" outlineLevel="0" collapsed="false"/>
    <row r="567" customFormat="false" ht="15.75" hidden="true" customHeight="false" outlineLevel="0" collapsed="false"/>
    <row r="568" customFormat="false" ht="15.75" hidden="true" customHeight="false" outlineLevel="0" collapsed="false"/>
    <row r="569" customFormat="false" ht="15.75" hidden="true" customHeight="false" outlineLevel="0" collapsed="false"/>
    <row r="570" customFormat="false" ht="15.75" hidden="true" customHeight="false" outlineLevel="0" collapsed="false"/>
    <row r="571" customFormat="false" ht="15.75" hidden="true" customHeight="false" outlineLevel="0" collapsed="false"/>
    <row r="572" customFormat="false" ht="15.75" hidden="true" customHeight="false" outlineLevel="0" collapsed="false"/>
    <row r="573" customFormat="false" ht="15.75" hidden="true" customHeight="false" outlineLevel="0" collapsed="false"/>
    <row r="574" customFormat="false" ht="15.75" hidden="true" customHeight="false" outlineLevel="0" collapsed="false"/>
    <row r="575" customFormat="false" ht="15.75" hidden="true" customHeight="false" outlineLevel="0" collapsed="false"/>
    <row r="576" customFormat="false" ht="15.75" hidden="true" customHeight="false" outlineLevel="0" collapsed="false"/>
    <row r="577" customFormat="false" ht="15.75" hidden="true" customHeight="false" outlineLevel="0" collapsed="false"/>
    <row r="578" customFormat="false" ht="15.75" hidden="true" customHeight="false" outlineLevel="0" collapsed="false"/>
    <row r="579" customFormat="false" ht="15.75" hidden="true" customHeight="false" outlineLevel="0" collapsed="false"/>
    <row r="580" customFormat="false" ht="15.75" hidden="true" customHeight="false" outlineLevel="0" collapsed="false"/>
    <row r="581" customFormat="false" ht="15.75" hidden="true" customHeight="false" outlineLevel="0" collapsed="false"/>
    <row r="582" customFormat="false" ht="15.75" hidden="true" customHeight="false" outlineLevel="0" collapsed="false"/>
    <row r="583" customFormat="false" ht="15.75" hidden="true" customHeight="false" outlineLevel="0" collapsed="false"/>
    <row r="584" customFormat="false" ht="15.75" hidden="true" customHeight="false" outlineLevel="0" collapsed="false"/>
    <row r="585" customFormat="false" ht="15.75" hidden="true" customHeight="false" outlineLevel="0" collapsed="false"/>
    <row r="586" customFormat="false" ht="15.75" hidden="true" customHeight="false" outlineLevel="0" collapsed="false"/>
    <row r="587" customFormat="false" ht="15.75" hidden="true" customHeight="false" outlineLevel="0" collapsed="false"/>
    <row r="588" customFormat="false" ht="15.75" hidden="true" customHeight="false" outlineLevel="0" collapsed="false"/>
    <row r="589" customFormat="false" ht="15.75" hidden="true" customHeight="false" outlineLevel="0" collapsed="false"/>
    <row r="590" customFormat="false" ht="15.75" hidden="true" customHeight="false" outlineLevel="0" collapsed="false"/>
    <row r="591" customFormat="false" ht="15.75" hidden="true" customHeight="false" outlineLevel="0" collapsed="false"/>
    <row r="592" customFormat="false" ht="15.75" hidden="true" customHeight="false" outlineLevel="0" collapsed="false"/>
    <row r="593" customFormat="false" ht="15.75" hidden="true" customHeight="false" outlineLevel="0" collapsed="false"/>
    <row r="594" customFormat="false" ht="15.75" hidden="true" customHeight="false" outlineLevel="0" collapsed="false"/>
    <row r="595" customFormat="false" ht="15.75" hidden="true" customHeight="false" outlineLevel="0" collapsed="false"/>
    <row r="596" customFormat="false" ht="15.75" hidden="true" customHeight="false" outlineLevel="0" collapsed="false"/>
    <row r="597" customFormat="false" ht="15.75" hidden="true" customHeight="false" outlineLevel="0" collapsed="false"/>
    <row r="598" customFormat="false" ht="15.75" hidden="true" customHeight="false" outlineLevel="0" collapsed="false"/>
    <row r="599" customFormat="false" ht="15.75" hidden="true" customHeight="false" outlineLevel="0" collapsed="false"/>
    <row r="600" customFormat="false" ht="15.75" hidden="true" customHeight="false" outlineLevel="0" collapsed="false"/>
    <row r="601" customFormat="false" ht="15.75" hidden="true" customHeight="false" outlineLevel="0" collapsed="false"/>
    <row r="602" customFormat="false" ht="15.75" hidden="true" customHeight="false" outlineLevel="0" collapsed="false"/>
    <row r="603" customFormat="false" ht="15.75" hidden="true" customHeight="false" outlineLevel="0" collapsed="false"/>
    <row r="604" customFormat="false" ht="15.75" hidden="true" customHeight="false" outlineLevel="0" collapsed="false"/>
    <row r="605" customFormat="false" ht="15.75" hidden="true" customHeight="false" outlineLevel="0" collapsed="false"/>
    <row r="606" customFormat="false" ht="15.75" hidden="true" customHeight="false" outlineLevel="0" collapsed="false"/>
    <row r="607" customFormat="false" ht="15.75" hidden="true" customHeight="false" outlineLevel="0" collapsed="false"/>
    <row r="608" customFormat="false" ht="15.75" hidden="true" customHeight="false" outlineLevel="0" collapsed="false"/>
    <row r="609" customFormat="false" ht="15.75" hidden="true" customHeight="false" outlineLevel="0" collapsed="false"/>
    <row r="610" customFormat="false" ht="15.75" hidden="true" customHeight="false" outlineLevel="0" collapsed="false"/>
    <row r="611" customFormat="false" ht="15.75" hidden="true" customHeight="false" outlineLevel="0" collapsed="false"/>
    <row r="612" customFormat="false" ht="15.75" hidden="true" customHeight="false" outlineLevel="0" collapsed="false"/>
    <row r="613" customFormat="false" ht="15.75" hidden="true" customHeight="false" outlineLevel="0" collapsed="false"/>
    <row r="614" customFormat="false" ht="15.75" hidden="true" customHeight="false" outlineLevel="0" collapsed="false"/>
    <row r="615" customFormat="false" ht="15.75" hidden="true" customHeight="false" outlineLevel="0" collapsed="false"/>
    <row r="616" customFormat="false" ht="15.75" hidden="true" customHeight="false" outlineLevel="0" collapsed="false"/>
    <row r="617" customFormat="false" ht="15.75" hidden="true" customHeight="false" outlineLevel="0" collapsed="false"/>
    <row r="618" customFormat="false" ht="15.75" hidden="true" customHeight="false" outlineLevel="0" collapsed="false"/>
    <row r="619" customFormat="false" ht="15.75" hidden="true" customHeight="false" outlineLevel="0" collapsed="false"/>
    <row r="620" customFormat="false" ht="15.75" hidden="true" customHeight="false" outlineLevel="0" collapsed="false"/>
    <row r="621" customFormat="false" ht="15.75" hidden="true" customHeight="false" outlineLevel="0" collapsed="false"/>
    <row r="622" customFormat="false" ht="15.75" hidden="true" customHeight="false" outlineLevel="0" collapsed="false"/>
    <row r="623" customFormat="false" ht="15.75" hidden="true" customHeight="false" outlineLevel="0" collapsed="false"/>
    <row r="624" customFormat="false" ht="15.75" hidden="true" customHeight="false" outlineLevel="0" collapsed="false"/>
    <row r="625" customFormat="false" ht="15.75" hidden="true" customHeight="false" outlineLevel="0" collapsed="false"/>
    <row r="626" customFormat="false" ht="15.75" hidden="true" customHeight="false" outlineLevel="0" collapsed="false"/>
    <row r="627" customFormat="false" ht="15.75" hidden="true" customHeight="false" outlineLevel="0" collapsed="false"/>
    <row r="628" customFormat="false" ht="15.75" hidden="true" customHeight="false" outlineLevel="0" collapsed="false"/>
    <row r="629" customFormat="false" ht="15.75" hidden="true" customHeight="false" outlineLevel="0" collapsed="false"/>
    <row r="630" customFormat="false" ht="15.75" hidden="true" customHeight="false" outlineLevel="0" collapsed="false"/>
    <row r="631" customFormat="false" ht="15.75" hidden="true" customHeight="false" outlineLevel="0" collapsed="false"/>
    <row r="632" customFormat="false" ht="15.75" hidden="true" customHeight="false" outlineLevel="0" collapsed="false"/>
    <row r="633" customFormat="false" ht="15.75" hidden="true" customHeight="false" outlineLevel="0" collapsed="false"/>
    <row r="634" customFormat="false" ht="15.75" hidden="true" customHeight="false" outlineLevel="0" collapsed="false"/>
    <row r="635" customFormat="false" ht="15.75" hidden="true" customHeight="false" outlineLevel="0" collapsed="false"/>
    <row r="636" customFormat="false" ht="15.75" hidden="true" customHeight="false" outlineLevel="0" collapsed="false"/>
    <row r="637" customFormat="false" ht="15.75" hidden="true" customHeight="false" outlineLevel="0" collapsed="false"/>
    <row r="638" customFormat="false" ht="15.75" hidden="true" customHeight="false" outlineLevel="0" collapsed="false"/>
    <row r="639" customFormat="false" ht="15.75" hidden="true" customHeight="false" outlineLevel="0" collapsed="false"/>
    <row r="640" customFormat="false" ht="15.75" hidden="true" customHeight="false" outlineLevel="0" collapsed="false"/>
    <row r="641" customFormat="false" ht="15.75" hidden="true" customHeight="false" outlineLevel="0" collapsed="false"/>
    <row r="642" customFormat="false" ht="15.75" hidden="true" customHeight="false" outlineLevel="0" collapsed="false"/>
    <row r="643" customFormat="false" ht="15.75" hidden="true" customHeight="false" outlineLevel="0" collapsed="false"/>
    <row r="644" customFormat="false" ht="15.75" hidden="true" customHeight="false" outlineLevel="0" collapsed="false"/>
    <row r="645" customFormat="false" ht="15.75" hidden="true" customHeight="false" outlineLevel="0" collapsed="false"/>
    <row r="646" customFormat="false" ht="15.75" hidden="true" customHeight="false" outlineLevel="0" collapsed="false"/>
    <row r="647" customFormat="false" ht="15.75" hidden="true" customHeight="false" outlineLevel="0" collapsed="false"/>
    <row r="648" customFormat="false" ht="15.75" hidden="true" customHeight="false" outlineLevel="0" collapsed="false"/>
    <row r="649" customFormat="false" ht="15.75" hidden="true" customHeight="false" outlineLevel="0" collapsed="false"/>
    <row r="650" customFormat="false" ht="15.75" hidden="true" customHeight="false" outlineLevel="0" collapsed="false"/>
    <row r="651" customFormat="false" ht="15.75" hidden="true" customHeight="false" outlineLevel="0" collapsed="false"/>
    <row r="652" customFormat="false" ht="15.75" hidden="true" customHeight="false" outlineLevel="0" collapsed="false"/>
    <row r="653" customFormat="false" ht="15.75" hidden="true" customHeight="false" outlineLevel="0" collapsed="false"/>
    <row r="654" customFormat="false" ht="15.75" hidden="true" customHeight="false" outlineLevel="0" collapsed="false"/>
    <row r="655" customFormat="false" ht="15.75" hidden="true" customHeight="false" outlineLevel="0" collapsed="false"/>
    <row r="656" customFormat="false" ht="15.75" hidden="true" customHeight="false" outlineLevel="0" collapsed="false"/>
    <row r="657" customFormat="false" ht="15.75" hidden="true" customHeight="false" outlineLevel="0" collapsed="false"/>
    <row r="658" customFormat="false" ht="15.75" hidden="true" customHeight="false" outlineLevel="0" collapsed="false"/>
    <row r="659" customFormat="false" ht="15.75" hidden="true" customHeight="false" outlineLevel="0" collapsed="false"/>
    <row r="660" customFormat="false" ht="15.75" hidden="true" customHeight="false" outlineLevel="0" collapsed="false"/>
    <row r="661" customFormat="false" ht="15.75" hidden="true" customHeight="false" outlineLevel="0" collapsed="false"/>
    <row r="662" customFormat="false" ht="15.75" hidden="true" customHeight="false" outlineLevel="0" collapsed="false"/>
    <row r="663" customFormat="false" ht="15.75" hidden="true" customHeight="false" outlineLevel="0" collapsed="false"/>
    <row r="664" customFormat="false" ht="15.75" hidden="true" customHeight="false" outlineLevel="0" collapsed="false"/>
    <row r="665" customFormat="false" ht="15.75" hidden="true" customHeight="false" outlineLevel="0" collapsed="false"/>
    <row r="666" customFormat="false" ht="15.75" hidden="true" customHeight="false" outlineLevel="0" collapsed="false"/>
    <row r="667" customFormat="false" ht="15.75" hidden="true" customHeight="false" outlineLevel="0" collapsed="false"/>
    <row r="668" customFormat="false" ht="15.75" hidden="true" customHeight="false" outlineLevel="0" collapsed="false"/>
    <row r="669" customFormat="false" ht="15.75" hidden="true" customHeight="false" outlineLevel="0" collapsed="false"/>
    <row r="670" customFormat="false" ht="15.75" hidden="true" customHeight="false" outlineLevel="0" collapsed="false"/>
    <row r="671" customFormat="false" ht="15.75" hidden="true" customHeight="false" outlineLevel="0" collapsed="false"/>
    <row r="672" customFormat="false" ht="15.75" hidden="true" customHeight="false" outlineLevel="0" collapsed="false"/>
    <row r="673" customFormat="false" ht="15.75" hidden="true" customHeight="false" outlineLevel="0" collapsed="false"/>
    <row r="674" customFormat="false" ht="15.75" hidden="true" customHeight="false" outlineLevel="0" collapsed="false"/>
    <row r="675" customFormat="false" ht="15.75" hidden="true" customHeight="false" outlineLevel="0" collapsed="false"/>
    <row r="676" customFormat="false" ht="15.75" hidden="true" customHeight="false" outlineLevel="0" collapsed="false"/>
    <row r="677" customFormat="false" ht="15.75" hidden="true" customHeight="false" outlineLevel="0" collapsed="false"/>
    <row r="678" customFormat="false" ht="15.75" hidden="true" customHeight="false" outlineLevel="0" collapsed="false"/>
    <row r="679" customFormat="false" ht="15.75" hidden="true" customHeight="false" outlineLevel="0" collapsed="false"/>
    <row r="680" customFormat="false" ht="15.75" hidden="true" customHeight="false" outlineLevel="0" collapsed="false"/>
    <row r="681" customFormat="false" ht="15.75" hidden="true" customHeight="false" outlineLevel="0" collapsed="false"/>
    <row r="682" customFormat="false" ht="15.75" hidden="true" customHeight="false" outlineLevel="0" collapsed="false"/>
    <row r="683" customFormat="false" ht="15.75" hidden="true" customHeight="false" outlineLevel="0" collapsed="false"/>
    <row r="684" customFormat="false" ht="15.75" hidden="true" customHeight="false" outlineLevel="0" collapsed="false"/>
    <row r="685" customFormat="false" ht="15.75" hidden="true" customHeight="false" outlineLevel="0" collapsed="false"/>
    <row r="686" customFormat="false" ht="15.75" hidden="true" customHeight="false" outlineLevel="0" collapsed="false"/>
    <row r="687" customFormat="false" ht="15.75" hidden="true" customHeight="false" outlineLevel="0" collapsed="false"/>
    <row r="688" customFormat="false" ht="15.75" hidden="true" customHeight="false" outlineLevel="0" collapsed="false"/>
    <row r="689" customFormat="false" ht="15.75" hidden="true" customHeight="false" outlineLevel="0" collapsed="false"/>
    <row r="690" customFormat="false" ht="15.75" hidden="true" customHeight="false" outlineLevel="0" collapsed="false"/>
    <row r="691" customFormat="false" ht="15.75" hidden="true" customHeight="false" outlineLevel="0" collapsed="false"/>
    <row r="692" customFormat="false" ht="15.75" hidden="true" customHeight="false" outlineLevel="0" collapsed="false"/>
    <row r="693" customFormat="false" ht="15.75" hidden="true" customHeight="false" outlineLevel="0" collapsed="false"/>
    <row r="694" customFormat="false" ht="15.75" hidden="true" customHeight="false" outlineLevel="0" collapsed="false"/>
    <row r="695" customFormat="false" ht="15.75" hidden="true" customHeight="false" outlineLevel="0" collapsed="false"/>
    <row r="696" customFormat="false" ht="15.75" hidden="true" customHeight="false" outlineLevel="0" collapsed="false"/>
    <row r="697" customFormat="false" ht="15.75" hidden="true" customHeight="false" outlineLevel="0" collapsed="false"/>
    <row r="698" customFormat="false" ht="15.75" hidden="true" customHeight="false" outlineLevel="0" collapsed="false"/>
    <row r="699" customFormat="false" ht="15.75" hidden="true" customHeight="false" outlineLevel="0" collapsed="false"/>
    <row r="700" customFormat="false" ht="15.75" hidden="true" customHeight="false" outlineLevel="0" collapsed="false"/>
    <row r="701" customFormat="false" ht="15.75" hidden="true" customHeight="false" outlineLevel="0" collapsed="false"/>
    <row r="702" customFormat="false" ht="15.75" hidden="true" customHeight="false" outlineLevel="0" collapsed="false"/>
    <row r="703" customFormat="false" ht="15.75" hidden="true" customHeight="false" outlineLevel="0" collapsed="false"/>
    <row r="704" customFormat="false" ht="15.75" hidden="true" customHeight="false" outlineLevel="0" collapsed="false"/>
    <row r="705" customFormat="false" ht="15.75" hidden="true" customHeight="false" outlineLevel="0" collapsed="false"/>
    <row r="706" customFormat="false" ht="15.75" hidden="true" customHeight="false" outlineLevel="0" collapsed="false"/>
    <row r="707" customFormat="false" ht="15.75" hidden="true" customHeight="false" outlineLevel="0" collapsed="false"/>
    <row r="708" customFormat="false" ht="15.75" hidden="true" customHeight="false" outlineLevel="0" collapsed="false"/>
    <row r="709" customFormat="false" ht="15.75" hidden="true" customHeight="false" outlineLevel="0" collapsed="false"/>
    <row r="710" customFormat="false" ht="15.75" hidden="true" customHeight="false" outlineLevel="0" collapsed="false"/>
    <row r="711" customFormat="false" ht="15.75" hidden="true" customHeight="false" outlineLevel="0" collapsed="false"/>
    <row r="712" customFormat="false" ht="15.75" hidden="true" customHeight="false" outlineLevel="0" collapsed="false"/>
    <row r="713" customFormat="false" ht="15.75" hidden="true" customHeight="false" outlineLevel="0" collapsed="false"/>
    <row r="714" customFormat="false" ht="15.75" hidden="true" customHeight="false" outlineLevel="0" collapsed="false"/>
    <row r="715" customFormat="false" ht="15.75" hidden="true" customHeight="false" outlineLevel="0" collapsed="false"/>
    <row r="716" customFormat="false" ht="15.75" hidden="true" customHeight="false" outlineLevel="0" collapsed="false"/>
    <row r="717" customFormat="false" ht="15.75" hidden="true" customHeight="false" outlineLevel="0" collapsed="false"/>
    <row r="718" customFormat="false" ht="15.75" hidden="true" customHeight="false" outlineLevel="0" collapsed="false"/>
    <row r="719" customFormat="false" ht="15.75" hidden="true" customHeight="false" outlineLevel="0" collapsed="false"/>
    <row r="720" customFormat="false" ht="15.75" hidden="true" customHeight="false" outlineLevel="0" collapsed="false"/>
    <row r="721" customFormat="false" ht="15.75" hidden="true" customHeight="false" outlineLevel="0" collapsed="false"/>
    <row r="722" customFormat="false" ht="15.75" hidden="true" customHeight="false" outlineLevel="0" collapsed="false"/>
    <row r="723" customFormat="false" ht="15.75" hidden="true" customHeight="false" outlineLevel="0" collapsed="false"/>
    <row r="724" customFormat="false" ht="15.75" hidden="true" customHeight="false" outlineLevel="0" collapsed="false"/>
    <row r="725" customFormat="false" ht="15.75" hidden="true" customHeight="false" outlineLevel="0" collapsed="false"/>
    <row r="726" customFormat="false" ht="15.75" hidden="true" customHeight="false" outlineLevel="0" collapsed="false"/>
    <row r="727" customFormat="false" ht="15.75" hidden="true" customHeight="false" outlineLevel="0" collapsed="false"/>
    <row r="728" customFormat="false" ht="15.75" hidden="true" customHeight="false" outlineLevel="0" collapsed="false"/>
    <row r="729" customFormat="false" ht="15.75" hidden="true" customHeight="false" outlineLevel="0" collapsed="false"/>
    <row r="730" customFormat="false" ht="15.75" hidden="true" customHeight="false" outlineLevel="0" collapsed="false"/>
    <row r="731" customFormat="false" ht="15.75" hidden="true" customHeight="false" outlineLevel="0" collapsed="false"/>
    <row r="732" customFormat="false" ht="15.75" hidden="true" customHeight="false" outlineLevel="0" collapsed="false"/>
    <row r="733" customFormat="false" ht="15.75" hidden="true" customHeight="false" outlineLevel="0" collapsed="false"/>
    <row r="734" customFormat="false" ht="15.75" hidden="true" customHeight="false" outlineLevel="0" collapsed="false"/>
    <row r="735" customFormat="false" ht="15.75" hidden="true" customHeight="false" outlineLevel="0" collapsed="false"/>
    <row r="736" customFormat="false" ht="15.75" hidden="true" customHeight="false" outlineLevel="0" collapsed="false"/>
    <row r="737" customFormat="false" ht="15.75" hidden="true" customHeight="false" outlineLevel="0" collapsed="false"/>
    <row r="738" customFormat="false" ht="15.75" hidden="true" customHeight="false" outlineLevel="0" collapsed="false"/>
    <row r="739" customFormat="false" ht="15.75" hidden="true" customHeight="false" outlineLevel="0" collapsed="false"/>
    <row r="740" customFormat="false" ht="15.75" hidden="true" customHeight="false" outlineLevel="0" collapsed="false"/>
    <row r="741" customFormat="false" ht="15.75" hidden="true" customHeight="false" outlineLevel="0" collapsed="false"/>
    <row r="742" customFormat="false" ht="15.75" hidden="true" customHeight="false" outlineLevel="0" collapsed="false"/>
    <row r="743" customFormat="false" ht="15.75" hidden="true" customHeight="false" outlineLevel="0" collapsed="false"/>
    <row r="744" customFormat="false" ht="15.75" hidden="true" customHeight="false" outlineLevel="0" collapsed="false"/>
    <row r="745" customFormat="false" ht="15.75" hidden="true" customHeight="false" outlineLevel="0" collapsed="false"/>
    <row r="746" customFormat="false" ht="15.75" hidden="true" customHeight="false" outlineLevel="0" collapsed="false"/>
    <row r="747" customFormat="false" ht="15.75" hidden="true" customHeight="false" outlineLevel="0" collapsed="false"/>
    <row r="748" customFormat="false" ht="15.75" hidden="true" customHeight="false" outlineLevel="0" collapsed="false"/>
    <row r="749" customFormat="false" ht="15.75" hidden="true" customHeight="false" outlineLevel="0" collapsed="false"/>
    <row r="750" customFormat="false" ht="15.75" hidden="true" customHeight="false" outlineLevel="0" collapsed="false"/>
    <row r="751" customFormat="false" ht="15.75" hidden="true" customHeight="false" outlineLevel="0" collapsed="false"/>
    <row r="752" customFormat="false" ht="15.75" hidden="true" customHeight="false" outlineLevel="0" collapsed="false"/>
    <row r="753" customFormat="false" ht="15.75" hidden="true" customHeight="false" outlineLevel="0" collapsed="false"/>
    <row r="754" customFormat="false" ht="15.75" hidden="true" customHeight="false" outlineLevel="0" collapsed="false"/>
    <row r="755" customFormat="false" ht="15.75" hidden="true" customHeight="false" outlineLevel="0" collapsed="false"/>
    <row r="756" customFormat="false" ht="15.75" hidden="true" customHeight="false" outlineLevel="0" collapsed="false"/>
    <row r="757" customFormat="false" ht="15.75" hidden="true" customHeight="false" outlineLevel="0" collapsed="false"/>
    <row r="758" customFormat="false" ht="15.75" hidden="true" customHeight="false" outlineLevel="0" collapsed="false"/>
    <row r="759" customFormat="false" ht="15.75" hidden="true" customHeight="false" outlineLevel="0" collapsed="false"/>
    <row r="760" customFormat="false" ht="15.75" hidden="true" customHeight="false" outlineLevel="0" collapsed="false"/>
    <row r="761" customFormat="false" ht="15.75" hidden="true" customHeight="false" outlineLevel="0" collapsed="false"/>
    <row r="762" customFormat="false" ht="15.75" hidden="true" customHeight="false" outlineLevel="0" collapsed="false"/>
    <row r="763" customFormat="false" ht="15.75" hidden="true" customHeight="false" outlineLevel="0" collapsed="false"/>
    <row r="764" customFormat="false" ht="15.75" hidden="true" customHeight="false" outlineLevel="0" collapsed="false"/>
    <row r="765" customFormat="false" ht="15.75" hidden="true" customHeight="false" outlineLevel="0" collapsed="false"/>
    <row r="766" customFormat="false" ht="15.75" hidden="true" customHeight="false" outlineLevel="0" collapsed="false"/>
    <row r="767" customFormat="false" ht="15.75" hidden="true" customHeight="false" outlineLevel="0" collapsed="false"/>
    <row r="768" customFormat="false" ht="15.75" hidden="true" customHeight="false" outlineLevel="0" collapsed="false"/>
    <row r="769" customFormat="false" ht="15.75" hidden="true" customHeight="false" outlineLevel="0" collapsed="false"/>
    <row r="770" customFormat="false" ht="15.75" hidden="true" customHeight="false" outlineLevel="0" collapsed="false"/>
    <row r="771" customFormat="false" ht="15.75" hidden="true" customHeight="false" outlineLevel="0" collapsed="false"/>
    <row r="772" customFormat="false" ht="15.75" hidden="true" customHeight="false" outlineLevel="0" collapsed="false"/>
    <row r="773" customFormat="false" ht="15.75" hidden="true" customHeight="false" outlineLevel="0" collapsed="false"/>
    <row r="774" customFormat="false" ht="15.75" hidden="true" customHeight="false" outlineLevel="0" collapsed="false"/>
    <row r="775" customFormat="false" ht="15.75" hidden="true" customHeight="false" outlineLevel="0" collapsed="false"/>
    <row r="776" customFormat="false" ht="15.75" hidden="true" customHeight="false" outlineLevel="0" collapsed="false"/>
    <row r="777" customFormat="false" ht="15.75" hidden="true" customHeight="false" outlineLevel="0" collapsed="false"/>
    <row r="778" customFormat="false" ht="15.75" hidden="true" customHeight="false" outlineLevel="0" collapsed="false"/>
    <row r="779" customFormat="false" ht="15.75" hidden="true" customHeight="false" outlineLevel="0" collapsed="false"/>
    <row r="780" customFormat="false" ht="15.75" hidden="true" customHeight="false" outlineLevel="0" collapsed="false"/>
    <row r="781" customFormat="false" ht="15.75" hidden="true" customHeight="false" outlineLevel="0" collapsed="false"/>
    <row r="782" customFormat="false" ht="15.75" hidden="true" customHeight="false" outlineLevel="0" collapsed="false"/>
    <row r="783" customFormat="false" ht="15.75" hidden="true" customHeight="false" outlineLevel="0" collapsed="false"/>
    <row r="784" customFormat="false" ht="15.75" hidden="true" customHeight="false" outlineLevel="0" collapsed="false"/>
    <row r="785" customFormat="false" ht="15.75" hidden="true" customHeight="false" outlineLevel="0" collapsed="false"/>
    <row r="786" customFormat="false" ht="15.75" hidden="true" customHeight="false" outlineLevel="0" collapsed="false"/>
    <row r="787" customFormat="false" ht="15.75" hidden="true" customHeight="false" outlineLevel="0" collapsed="false"/>
    <row r="788" customFormat="false" ht="15.75" hidden="true" customHeight="false" outlineLevel="0" collapsed="false"/>
    <row r="789" customFormat="false" ht="15.75" hidden="true" customHeight="false" outlineLevel="0" collapsed="false"/>
    <row r="790" customFormat="false" ht="15.75" hidden="true" customHeight="false" outlineLevel="0" collapsed="false"/>
    <row r="791" customFormat="false" ht="15.75" hidden="true" customHeight="false" outlineLevel="0" collapsed="false"/>
    <row r="792" customFormat="false" ht="15.75" hidden="true" customHeight="false" outlineLevel="0" collapsed="false"/>
    <row r="793" customFormat="false" ht="15.75" hidden="true" customHeight="false" outlineLevel="0" collapsed="false"/>
    <row r="794" customFormat="false" ht="15.75" hidden="true" customHeight="false" outlineLevel="0" collapsed="false"/>
    <row r="795" customFormat="false" ht="15.75" hidden="true" customHeight="false" outlineLevel="0" collapsed="false"/>
    <row r="796" customFormat="false" ht="15.75" hidden="true" customHeight="false" outlineLevel="0" collapsed="false"/>
    <row r="797" customFormat="false" ht="15.75" hidden="true" customHeight="false" outlineLevel="0" collapsed="false"/>
    <row r="798" customFormat="false" ht="15.75" hidden="true" customHeight="false" outlineLevel="0" collapsed="false"/>
    <row r="799" customFormat="false" ht="15.75" hidden="true" customHeight="false" outlineLevel="0" collapsed="false"/>
    <row r="800" customFormat="false" ht="15.75" hidden="true" customHeight="false" outlineLevel="0" collapsed="false"/>
    <row r="801" customFormat="false" ht="15.75" hidden="true" customHeight="false" outlineLevel="0" collapsed="false"/>
    <row r="802" customFormat="false" ht="15.75" hidden="true" customHeight="false" outlineLevel="0" collapsed="false"/>
    <row r="803" customFormat="false" ht="15.75" hidden="true" customHeight="false" outlineLevel="0" collapsed="false"/>
    <row r="804" customFormat="false" ht="15.75" hidden="true" customHeight="false" outlineLevel="0" collapsed="false"/>
    <row r="805" customFormat="false" ht="15.75" hidden="true" customHeight="false" outlineLevel="0" collapsed="false"/>
    <row r="806" customFormat="false" ht="15.75" hidden="true" customHeight="false" outlineLevel="0" collapsed="false"/>
    <row r="807" customFormat="false" ht="15.75" hidden="true" customHeight="false" outlineLevel="0" collapsed="false"/>
    <row r="808" customFormat="false" ht="15.75" hidden="true" customHeight="false" outlineLevel="0" collapsed="false"/>
    <row r="809" customFormat="false" ht="15.75" hidden="true" customHeight="false" outlineLevel="0" collapsed="false"/>
    <row r="810" customFormat="false" ht="15.75" hidden="true" customHeight="false" outlineLevel="0" collapsed="false"/>
    <row r="811" customFormat="false" ht="15.75" hidden="true" customHeight="false" outlineLevel="0" collapsed="false"/>
    <row r="812" customFormat="false" ht="15.75" hidden="true" customHeight="false" outlineLevel="0" collapsed="false"/>
    <row r="813" customFormat="false" ht="15.75" hidden="true" customHeight="false" outlineLevel="0" collapsed="false"/>
    <row r="814" customFormat="false" ht="15.75" hidden="true" customHeight="false" outlineLevel="0" collapsed="false"/>
    <row r="815" customFormat="false" ht="15.75" hidden="true" customHeight="false" outlineLevel="0" collapsed="false"/>
    <row r="816" customFormat="false" ht="15.75" hidden="true" customHeight="false" outlineLevel="0" collapsed="false"/>
    <row r="817" customFormat="false" ht="15.75" hidden="true" customHeight="false" outlineLevel="0" collapsed="false"/>
    <row r="818" customFormat="false" ht="15.75" hidden="true" customHeight="false" outlineLevel="0" collapsed="false"/>
    <row r="819" customFormat="false" ht="15.75" hidden="true" customHeight="false" outlineLevel="0" collapsed="false"/>
    <row r="820" customFormat="false" ht="15.75" hidden="true" customHeight="false" outlineLevel="0" collapsed="false"/>
    <row r="821" customFormat="false" ht="15.75" hidden="true" customHeight="false" outlineLevel="0" collapsed="false"/>
    <row r="822" customFormat="false" ht="15.75" hidden="true" customHeight="false" outlineLevel="0" collapsed="false"/>
    <row r="823" customFormat="false" ht="15.75" hidden="true" customHeight="false" outlineLevel="0" collapsed="false"/>
    <row r="824" customFormat="false" ht="15.75" hidden="true" customHeight="false" outlineLevel="0" collapsed="false"/>
    <row r="825" customFormat="false" ht="15.75" hidden="true" customHeight="false" outlineLevel="0" collapsed="false"/>
    <row r="826" customFormat="false" ht="15.75" hidden="true" customHeight="false" outlineLevel="0" collapsed="false"/>
    <row r="827" customFormat="false" ht="15.75" hidden="true" customHeight="false" outlineLevel="0" collapsed="false"/>
    <row r="828" customFormat="false" ht="15.75" hidden="true" customHeight="false" outlineLevel="0" collapsed="false"/>
    <row r="829" customFormat="false" ht="15.75" hidden="true" customHeight="false" outlineLevel="0" collapsed="false"/>
    <row r="830" customFormat="false" ht="15.75" hidden="true" customHeight="false" outlineLevel="0" collapsed="false"/>
    <row r="831" customFormat="false" ht="15.75" hidden="true" customHeight="false" outlineLevel="0" collapsed="false"/>
    <row r="832" customFormat="false" ht="15.75" hidden="true" customHeight="false" outlineLevel="0" collapsed="false"/>
    <row r="833" customFormat="false" ht="15.75" hidden="true" customHeight="false" outlineLevel="0" collapsed="false"/>
    <row r="834" customFormat="false" ht="15.75" hidden="true" customHeight="false" outlineLevel="0" collapsed="false"/>
    <row r="835" customFormat="false" ht="15.75" hidden="true" customHeight="false" outlineLevel="0" collapsed="false"/>
    <row r="836" customFormat="false" ht="15.75" hidden="true" customHeight="false" outlineLevel="0" collapsed="false"/>
    <row r="837" customFormat="false" ht="15.75" hidden="true" customHeight="false" outlineLevel="0" collapsed="false"/>
    <row r="838" customFormat="false" ht="15.75" hidden="true" customHeight="false" outlineLevel="0" collapsed="false"/>
    <row r="839" customFormat="false" ht="15.75" hidden="true" customHeight="false" outlineLevel="0" collapsed="false"/>
    <row r="840" customFormat="false" ht="15.75" hidden="true" customHeight="false" outlineLevel="0" collapsed="false"/>
    <row r="841" customFormat="false" ht="15.75" hidden="true" customHeight="false" outlineLevel="0" collapsed="false"/>
    <row r="842" customFormat="false" ht="15.75" hidden="true" customHeight="false" outlineLevel="0" collapsed="false"/>
    <row r="843" customFormat="false" ht="15.75" hidden="true" customHeight="false" outlineLevel="0" collapsed="false"/>
    <row r="844" customFormat="false" ht="15.75" hidden="true" customHeight="false" outlineLevel="0" collapsed="false"/>
    <row r="845" customFormat="false" ht="15.75" hidden="true" customHeight="false" outlineLevel="0" collapsed="false"/>
    <row r="846" customFormat="false" ht="15.75" hidden="true" customHeight="false" outlineLevel="0" collapsed="false"/>
    <row r="847" customFormat="false" ht="15.75" hidden="true" customHeight="false" outlineLevel="0" collapsed="false"/>
    <row r="848" customFormat="false" ht="15.75" hidden="true" customHeight="false" outlineLevel="0" collapsed="false"/>
    <row r="849" customFormat="false" ht="15.75" hidden="true" customHeight="false" outlineLevel="0" collapsed="false"/>
    <row r="850" customFormat="false" ht="15.75" hidden="true" customHeight="false" outlineLevel="0" collapsed="false"/>
    <row r="851" customFormat="false" ht="15.75" hidden="true" customHeight="false" outlineLevel="0" collapsed="false"/>
    <row r="852" customFormat="false" ht="15.75" hidden="true" customHeight="false" outlineLevel="0" collapsed="false"/>
    <row r="853" customFormat="false" ht="15.75" hidden="true" customHeight="false" outlineLevel="0" collapsed="false"/>
    <row r="854" customFormat="false" ht="15.75" hidden="true" customHeight="false" outlineLevel="0" collapsed="false"/>
    <row r="855" customFormat="false" ht="15.75" hidden="true" customHeight="false" outlineLevel="0" collapsed="false"/>
    <row r="856" customFormat="false" ht="15.75" hidden="true" customHeight="false" outlineLevel="0" collapsed="false"/>
    <row r="857" customFormat="false" ht="15.75" hidden="true" customHeight="false" outlineLevel="0" collapsed="false"/>
    <row r="858" customFormat="false" ht="15.75" hidden="true" customHeight="false" outlineLevel="0" collapsed="false"/>
    <row r="859" customFormat="false" ht="15.75" hidden="true" customHeight="false" outlineLevel="0" collapsed="false"/>
    <row r="860" customFormat="false" ht="15.75" hidden="true" customHeight="false" outlineLevel="0" collapsed="false"/>
    <row r="861" customFormat="false" ht="15.75" hidden="true" customHeight="false" outlineLevel="0" collapsed="false"/>
    <row r="862" customFormat="false" ht="15.75" hidden="true" customHeight="false" outlineLevel="0" collapsed="false"/>
    <row r="863" customFormat="false" ht="15.75" hidden="true" customHeight="false" outlineLevel="0" collapsed="false"/>
    <row r="864" customFormat="false" ht="15.75" hidden="true" customHeight="false" outlineLevel="0" collapsed="false"/>
    <row r="865" customFormat="false" ht="15.75" hidden="true" customHeight="false" outlineLevel="0" collapsed="false"/>
    <row r="866" customFormat="false" ht="15.75" hidden="true" customHeight="false" outlineLevel="0" collapsed="false"/>
    <row r="867" customFormat="false" ht="15.75" hidden="true" customHeight="false" outlineLevel="0" collapsed="false"/>
    <row r="868" customFormat="false" ht="15.75" hidden="true" customHeight="false" outlineLevel="0" collapsed="false"/>
    <row r="869" customFormat="false" ht="15.75" hidden="true" customHeight="false" outlineLevel="0" collapsed="false"/>
    <row r="870" customFormat="false" ht="15.75" hidden="true" customHeight="false" outlineLevel="0" collapsed="false"/>
    <row r="871" customFormat="false" ht="15.75" hidden="true" customHeight="false" outlineLevel="0" collapsed="false"/>
    <row r="872" customFormat="false" ht="15.75" hidden="true" customHeight="false" outlineLevel="0" collapsed="false"/>
    <row r="873" customFormat="false" ht="15.75" hidden="true" customHeight="false" outlineLevel="0" collapsed="false"/>
    <row r="874" customFormat="false" ht="15.75" hidden="true" customHeight="false" outlineLevel="0" collapsed="false"/>
    <row r="875" customFormat="false" ht="15.75" hidden="true" customHeight="false" outlineLevel="0" collapsed="false"/>
    <row r="876" customFormat="false" ht="15.75" hidden="true" customHeight="false" outlineLevel="0" collapsed="false"/>
    <row r="877" customFormat="false" ht="15.75" hidden="true" customHeight="false" outlineLevel="0" collapsed="false"/>
    <row r="878" customFormat="false" ht="15.75" hidden="true" customHeight="false" outlineLevel="0" collapsed="false"/>
    <row r="879" customFormat="false" ht="15.75" hidden="true" customHeight="false" outlineLevel="0" collapsed="false"/>
    <row r="880" customFormat="false" ht="15.75" hidden="true" customHeight="false" outlineLevel="0" collapsed="false"/>
    <row r="881" customFormat="false" ht="15.75" hidden="true" customHeight="false" outlineLevel="0" collapsed="false"/>
    <row r="882" customFormat="false" ht="15.75" hidden="true" customHeight="false" outlineLevel="0" collapsed="false"/>
    <row r="883" customFormat="false" ht="15.75" hidden="true" customHeight="false" outlineLevel="0" collapsed="false"/>
    <row r="884" customFormat="false" ht="15.75" hidden="true" customHeight="false" outlineLevel="0" collapsed="false"/>
    <row r="885" customFormat="false" ht="15.75" hidden="true" customHeight="false" outlineLevel="0" collapsed="false"/>
    <row r="886" customFormat="false" ht="15.75" hidden="true" customHeight="false" outlineLevel="0" collapsed="false"/>
    <row r="887" customFormat="false" ht="15.75" hidden="true" customHeight="false" outlineLevel="0" collapsed="false"/>
    <row r="888" customFormat="false" ht="15.75" hidden="true" customHeight="false" outlineLevel="0" collapsed="false"/>
    <row r="889" customFormat="false" ht="15.75" hidden="true" customHeight="false" outlineLevel="0" collapsed="false"/>
    <row r="890" customFormat="false" ht="15.75" hidden="true" customHeight="false" outlineLevel="0" collapsed="false"/>
    <row r="891" customFormat="false" ht="15.75" hidden="true" customHeight="false" outlineLevel="0" collapsed="false"/>
    <row r="892" customFormat="false" ht="15.75" hidden="true" customHeight="false" outlineLevel="0" collapsed="false"/>
    <row r="893" customFormat="false" ht="15.75" hidden="true" customHeight="false" outlineLevel="0" collapsed="false"/>
    <row r="894" customFormat="false" ht="15.75" hidden="true" customHeight="false" outlineLevel="0" collapsed="false"/>
    <row r="895" customFormat="false" ht="15.75" hidden="true" customHeight="false" outlineLevel="0" collapsed="false"/>
    <row r="896" customFormat="false" ht="15.75" hidden="true" customHeight="false" outlineLevel="0" collapsed="false"/>
    <row r="897" customFormat="false" ht="15.75" hidden="true" customHeight="false" outlineLevel="0" collapsed="false"/>
    <row r="898" customFormat="false" ht="15.75" hidden="true" customHeight="false" outlineLevel="0" collapsed="false"/>
    <row r="899" customFormat="false" ht="15.75" hidden="true" customHeight="false" outlineLevel="0" collapsed="false"/>
    <row r="900" customFormat="false" ht="15.75" hidden="true" customHeight="false" outlineLevel="0" collapsed="false"/>
    <row r="901" customFormat="false" ht="15.75" hidden="true" customHeight="false" outlineLevel="0" collapsed="false"/>
    <row r="902" customFormat="false" ht="15.75" hidden="true" customHeight="false" outlineLevel="0" collapsed="false"/>
    <row r="903" customFormat="false" ht="15.75" hidden="true" customHeight="false" outlineLevel="0" collapsed="false"/>
    <row r="904" customFormat="false" ht="15.75" hidden="true" customHeight="false" outlineLevel="0" collapsed="false"/>
    <row r="905" customFormat="false" ht="15.75" hidden="true" customHeight="false" outlineLevel="0" collapsed="false"/>
    <row r="906" customFormat="false" ht="15.75" hidden="true" customHeight="false" outlineLevel="0" collapsed="false"/>
    <row r="907" customFormat="false" ht="15.75" hidden="true" customHeight="false" outlineLevel="0" collapsed="false"/>
    <row r="908" customFormat="false" ht="15.75" hidden="true" customHeight="false" outlineLevel="0" collapsed="false"/>
    <row r="909" customFormat="false" ht="15.75" hidden="true" customHeight="false" outlineLevel="0" collapsed="false"/>
    <row r="910" customFormat="false" ht="15.75" hidden="true" customHeight="false" outlineLevel="0" collapsed="false"/>
    <row r="911" customFormat="false" ht="15.75" hidden="true" customHeight="false" outlineLevel="0" collapsed="false"/>
    <row r="912" customFormat="false" ht="15.75" hidden="true" customHeight="false" outlineLevel="0" collapsed="false"/>
    <row r="913" customFormat="false" ht="15.75" hidden="true" customHeight="false" outlineLevel="0" collapsed="false"/>
    <row r="914" customFormat="false" ht="15.75" hidden="true" customHeight="false" outlineLevel="0" collapsed="false"/>
    <row r="915" customFormat="false" ht="15.75" hidden="true" customHeight="false" outlineLevel="0" collapsed="false"/>
    <row r="916" customFormat="false" ht="15.75" hidden="true" customHeight="false" outlineLevel="0" collapsed="false"/>
    <row r="917" customFormat="false" ht="15.75" hidden="true" customHeight="false" outlineLevel="0" collapsed="false"/>
    <row r="918" customFormat="false" ht="15.75" hidden="true" customHeight="false" outlineLevel="0" collapsed="false"/>
    <row r="919" customFormat="false" ht="15.75" hidden="true" customHeight="false" outlineLevel="0" collapsed="false"/>
    <row r="920" customFormat="false" ht="15.75" hidden="true" customHeight="false" outlineLevel="0" collapsed="false"/>
    <row r="921" customFormat="false" ht="15.75" hidden="true" customHeight="false" outlineLevel="0" collapsed="false"/>
    <row r="922" customFormat="false" ht="15.75" hidden="true" customHeight="false" outlineLevel="0" collapsed="false"/>
    <row r="923" customFormat="false" ht="15.75" hidden="true" customHeight="false" outlineLevel="0" collapsed="false"/>
    <row r="924" customFormat="false" ht="15.75" hidden="true" customHeight="false" outlineLevel="0" collapsed="false"/>
    <row r="925" customFormat="false" ht="15.75" hidden="true" customHeight="false" outlineLevel="0" collapsed="false"/>
    <row r="926" customFormat="false" ht="15.75" hidden="true" customHeight="false" outlineLevel="0" collapsed="false"/>
    <row r="927" customFormat="false" ht="15.75" hidden="true" customHeight="false" outlineLevel="0" collapsed="false"/>
    <row r="928" customFormat="false" ht="15.75" hidden="true" customHeight="false" outlineLevel="0" collapsed="false"/>
    <row r="929" customFormat="false" ht="15.75" hidden="true" customHeight="false" outlineLevel="0" collapsed="false"/>
    <row r="930" customFormat="false" ht="15.75" hidden="true" customHeight="false" outlineLevel="0" collapsed="false"/>
    <row r="931" customFormat="false" ht="15.75" hidden="true" customHeight="false" outlineLevel="0" collapsed="false"/>
    <row r="932" customFormat="false" ht="15.75" hidden="true" customHeight="false" outlineLevel="0" collapsed="false"/>
    <row r="933" customFormat="false" ht="15.75" hidden="true" customHeight="false" outlineLevel="0" collapsed="false"/>
    <row r="934" customFormat="false" ht="15.75" hidden="true" customHeight="false" outlineLevel="0" collapsed="false"/>
    <row r="935" customFormat="false" ht="15.75" hidden="true" customHeight="false" outlineLevel="0" collapsed="false"/>
    <row r="936" customFormat="false" ht="15.75" hidden="true" customHeight="false" outlineLevel="0" collapsed="false"/>
    <row r="937" customFormat="false" ht="15.75" hidden="true" customHeight="false" outlineLevel="0" collapsed="false"/>
    <row r="938" customFormat="false" ht="15.75" hidden="true" customHeight="false" outlineLevel="0" collapsed="false"/>
    <row r="939" customFormat="false" ht="15.75" hidden="true" customHeight="false" outlineLevel="0" collapsed="false"/>
    <row r="940" customFormat="false" ht="15.75" hidden="true" customHeight="false" outlineLevel="0" collapsed="false"/>
    <row r="941" customFormat="false" ht="15.75" hidden="true" customHeight="false" outlineLevel="0" collapsed="false"/>
    <row r="942" customFormat="false" ht="15.75" hidden="true" customHeight="false" outlineLevel="0" collapsed="false"/>
    <row r="943" customFormat="false" ht="15.75" hidden="true" customHeight="false" outlineLevel="0" collapsed="false"/>
    <row r="944" customFormat="false" ht="15.75" hidden="true" customHeight="false" outlineLevel="0" collapsed="false"/>
    <row r="945" customFormat="false" ht="15.75" hidden="true" customHeight="false" outlineLevel="0" collapsed="false"/>
    <row r="946" customFormat="false" ht="15.75" hidden="true" customHeight="false" outlineLevel="0" collapsed="false"/>
    <row r="947" customFormat="false" ht="15.75" hidden="true" customHeight="false" outlineLevel="0" collapsed="false"/>
    <row r="948" customFormat="false" ht="15.75" hidden="true" customHeight="false" outlineLevel="0" collapsed="false"/>
    <row r="949" customFormat="false" ht="15.75" hidden="true" customHeight="false" outlineLevel="0" collapsed="false"/>
    <row r="950" customFormat="false" ht="15.75" hidden="true" customHeight="false" outlineLevel="0" collapsed="false"/>
    <row r="951" customFormat="false" ht="15.75" hidden="true" customHeight="false" outlineLevel="0" collapsed="false"/>
    <row r="952" customFormat="false" ht="15.75" hidden="true" customHeight="false" outlineLevel="0" collapsed="false"/>
    <row r="953" customFormat="false" ht="15.75" hidden="true" customHeight="false" outlineLevel="0" collapsed="false"/>
    <row r="954" customFormat="false" ht="15.75" hidden="true" customHeight="false" outlineLevel="0" collapsed="false"/>
    <row r="955" customFormat="false" ht="15.75" hidden="true" customHeight="false" outlineLevel="0" collapsed="false"/>
    <row r="956" customFormat="false" ht="15.75" hidden="true" customHeight="false" outlineLevel="0" collapsed="false"/>
    <row r="957" customFormat="false" ht="15.75" hidden="true" customHeight="false" outlineLevel="0" collapsed="false"/>
    <row r="958" customFormat="false" ht="15.75" hidden="true" customHeight="false" outlineLevel="0" collapsed="false"/>
    <row r="959" customFormat="false" ht="15.75" hidden="true" customHeight="false" outlineLevel="0" collapsed="false"/>
    <row r="960" customFormat="false" ht="15.75" hidden="true" customHeight="false" outlineLevel="0" collapsed="false"/>
    <row r="961" customFormat="false" ht="15.75" hidden="true" customHeight="false" outlineLevel="0" collapsed="false"/>
    <row r="962" customFormat="false" ht="15.75" hidden="true" customHeight="false" outlineLevel="0" collapsed="false"/>
    <row r="963" customFormat="false" ht="15.75" hidden="true" customHeight="false" outlineLevel="0" collapsed="false"/>
    <row r="964" customFormat="false" ht="15.75" hidden="true" customHeight="false" outlineLevel="0" collapsed="false"/>
    <row r="965" customFormat="false" ht="15.75" hidden="true" customHeight="false" outlineLevel="0" collapsed="false"/>
    <row r="966" customFormat="false" ht="15.75" hidden="true" customHeight="false" outlineLevel="0" collapsed="false"/>
    <row r="967" customFormat="false" ht="15.75" hidden="true" customHeight="false" outlineLevel="0" collapsed="false"/>
    <row r="968" customFormat="false" ht="15.75" hidden="true" customHeight="false" outlineLevel="0" collapsed="false"/>
    <row r="969" customFormat="false" ht="15.75" hidden="true" customHeight="false" outlineLevel="0" collapsed="false"/>
    <row r="970" customFormat="false" ht="15.75" hidden="true" customHeight="false" outlineLevel="0" collapsed="false"/>
    <row r="971" customFormat="false" ht="15.75" hidden="true" customHeight="false" outlineLevel="0" collapsed="false"/>
    <row r="972" customFormat="false" ht="15.75" hidden="true" customHeight="false" outlineLevel="0" collapsed="false"/>
    <row r="973" customFormat="false" ht="15.75" hidden="true" customHeight="false" outlineLevel="0" collapsed="false"/>
    <row r="974" customFormat="false" ht="15.75" hidden="true" customHeight="false" outlineLevel="0" collapsed="false"/>
    <row r="975" customFormat="false" ht="15.75" hidden="true" customHeight="false" outlineLevel="0" collapsed="false"/>
    <row r="976" customFormat="false" ht="15.75" hidden="true" customHeight="false" outlineLevel="0" collapsed="false"/>
    <row r="977" customFormat="false" ht="15.75" hidden="true" customHeight="false" outlineLevel="0" collapsed="false"/>
    <row r="978" customFormat="false" ht="15.75" hidden="true" customHeight="false" outlineLevel="0" collapsed="false"/>
    <row r="979" customFormat="false" ht="15.75" hidden="true" customHeight="false" outlineLevel="0" collapsed="false"/>
    <row r="980" customFormat="false" ht="15.75" hidden="true" customHeight="false" outlineLevel="0" collapsed="false"/>
    <row r="981" customFormat="false" ht="15.75" hidden="true" customHeight="false" outlineLevel="0" collapsed="false"/>
    <row r="982" customFormat="false" ht="15.75" hidden="true" customHeight="false" outlineLevel="0" collapsed="false"/>
    <row r="983" customFormat="false" ht="15.75" hidden="true" customHeight="false" outlineLevel="0" collapsed="false"/>
    <row r="984" customFormat="false" ht="15.75" hidden="true" customHeight="false" outlineLevel="0" collapsed="false"/>
    <row r="985" customFormat="false" ht="15.75" hidden="true" customHeight="false" outlineLevel="0" collapsed="false"/>
    <row r="986" customFormat="false" ht="15.75" hidden="true" customHeight="false" outlineLevel="0" collapsed="false"/>
    <row r="987" customFormat="false" ht="15.75" hidden="true" customHeight="false" outlineLevel="0" collapsed="false"/>
    <row r="988" customFormat="false" ht="15.75" hidden="true" customHeight="false" outlineLevel="0" collapsed="false"/>
    <row r="989" customFormat="false" ht="15.75" hidden="true" customHeight="false" outlineLevel="0" collapsed="false"/>
    <row r="990" customFormat="false" ht="15.75" hidden="true" customHeight="false" outlineLevel="0" collapsed="false"/>
    <row r="991" customFormat="false" ht="15.75" hidden="true" customHeight="false" outlineLevel="0" collapsed="false"/>
    <row r="992" customFormat="false" ht="15.75" hidden="true" customHeight="false" outlineLevel="0" collapsed="false"/>
    <row r="993" customFormat="false" ht="15.75" hidden="true" customHeight="false" outlineLevel="0" collapsed="false"/>
    <row r="994" customFormat="false" ht="15.75" hidden="true" customHeight="false" outlineLevel="0" collapsed="false"/>
    <row r="995" customFormat="false" ht="15.75" hidden="true" customHeight="false" outlineLevel="0" collapsed="false"/>
    <row r="996" customFormat="false" ht="15.75" hidden="true" customHeight="false" outlineLevel="0" collapsed="false"/>
    <row r="997" customFormat="false" ht="15.75" hidden="true" customHeight="false" outlineLevel="0" collapsed="false"/>
    <row r="998" customFormat="false" ht="15.75" hidden="true" customHeight="false" outlineLevel="0" collapsed="false"/>
    <row r="999" customFormat="false" ht="15.75" hidden="true" customHeight="false" outlineLevel="0" collapsed="false"/>
    <row r="1000" customFormat="false" ht="15.75" hidden="true" customHeight="false" outlineLevel="0" collapsed="false"/>
    <row r="1001" customFormat="false" ht="15.75" hidden="true" customHeight="false" outlineLevel="0" collapsed="false"/>
    <row r="1002" customFormat="false" ht="15.75" hidden="true" customHeight="false" outlineLevel="0" collapsed="false"/>
    <row r="1003" customFormat="false" ht="15.75" hidden="true" customHeight="false" outlineLevel="0" collapsed="false"/>
    <row r="1004" customFormat="false" ht="15.75" hidden="true" customHeight="false" outlineLevel="0" collapsed="false"/>
    <row r="1005" customFormat="false" ht="15.75" hidden="true" customHeight="false" outlineLevel="0" collapsed="false"/>
    <row r="1006" customFormat="false" ht="15.75" hidden="true" customHeight="false" outlineLevel="0" collapsed="false"/>
    <row r="1007" customFormat="false" ht="15.75" hidden="true" customHeight="false" outlineLevel="0" collapsed="false"/>
    <row r="1008" customFormat="false" ht="15.75" hidden="true" customHeight="false" outlineLevel="0" collapsed="false"/>
    <row r="1009" customFormat="false" ht="15.75" hidden="true" customHeight="false" outlineLevel="0" collapsed="false"/>
    <row r="1010" customFormat="false" ht="15.75" hidden="true" customHeight="false" outlineLevel="0" collapsed="false"/>
    <row r="1011" customFormat="false" ht="15.75" hidden="true" customHeight="false" outlineLevel="0" collapsed="false"/>
    <row r="1012" customFormat="false" ht="15.75" hidden="true" customHeight="false" outlineLevel="0" collapsed="false"/>
    <row r="1013" customFormat="false" ht="15.75" hidden="true" customHeight="false" outlineLevel="0" collapsed="false"/>
    <row r="1014" customFormat="false" ht="15.75" hidden="true" customHeight="false" outlineLevel="0" collapsed="false"/>
    <row r="1015" customFormat="false" ht="15.75" hidden="true" customHeight="false" outlineLevel="0" collapsed="false"/>
    <row r="1016" customFormat="false" ht="15.75" hidden="true" customHeight="false" outlineLevel="0" collapsed="false"/>
    <row r="1017" customFormat="false" ht="15.75" hidden="true" customHeight="false" outlineLevel="0" collapsed="false"/>
    <row r="1018" customFormat="false" ht="15.75" hidden="true" customHeight="false" outlineLevel="0" collapsed="false"/>
    <row r="1019" customFormat="false" ht="15.75" hidden="true" customHeight="false" outlineLevel="0" collapsed="false"/>
    <row r="1020" customFormat="false" ht="15.75" hidden="true" customHeight="false" outlineLevel="0" collapsed="false"/>
    <row r="1021" customFormat="false" ht="15.75" hidden="true" customHeight="false" outlineLevel="0" collapsed="false"/>
    <row r="1022" customFormat="false" ht="15.75" hidden="true" customHeight="false" outlineLevel="0" collapsed="false"/>
    <row r="1023" customFormat="false" ht="15.75" hidden="true" customHeight="false" outlineLevel="0" collapsed="false"/>
    <row r="1024" customFormat="false" ht="15.75" hidden="true" customHeight="false" outlineLevel="0" collapsed="false"/>
    <row r="1025" customFormat="false" ht="15.75" hidden="true" customHeight="false" outlineLevel="0" collapsed="false"/>
    <row r="1026" customFormat="false" ht="15.75" hidden="true" customHeight="false" outlineLevel="0" collapsed="false"/>
    <row r="1027" customFormat="false" ht="15.75" hidden="true" customHeight="false" outlineLevel="0" collapsed="false"/>
    <row r="1028" customFormat="false" ht="15.75" hidden="true" customHeight="false" outlineLevel="0" collapsed="false"/>
    <row r="1029" customFormat="false" ht="15.75" hidden="true" customHeight="false" outlineLevel="0" collapsed="false"/>
    <row r="1030" customFormat="false" ht="15.75" hidden="true" customHeight="false" outlineLevel="0" collapsed="false"/>
    <row r="1031" customFormat="false" ht="15.75" hidden="true" customHeight="false" outlineLevel="0" collapsed="false"/>
    <row r="1032" customFormat="false" ht="15.75" hidden="true" customHeight="false" outlineLevel="0" collapsed="false"/>
    <row r="1033" customFormat="false" ht="15.75" hidden="true" customHeight="false" outlineLevel="0" collapsed="false"/>
    <row r="1034" customFormat="false" ht="15.75" hidden="true" customHeight="false" outlineLevel="0" collapsed="false"/>
    <row r="1035" customFormat="false" ht="15.75" hidden="true" customHeight="false" outlineLevel="0" collapsed="false"/>
    <row r="1036" customFormat="false" ht="15.75" hidden="true" customHeight="false" outlineLevel="0" collapsed="false"/>
    <row r="1037" customFormat="false" ht="15.75" hidden="true" customHeight="false" outlineLevel="0" collapsed="false"/>
    <row r="1038" customFormat="false" ht="15.75" hidden="true" customHeight="false" outlineLevel="0" collapsed="false"/>
    <row r="1039" customFormat="false" ht="15.75" hidden="true" customHeight="false" outlineLevel="0" collapsed="false"/>
    <row r="1040" customFormat="false" ht="15.75" hidden="true" customHeight="false" outlineLevel="0" collapsed="false"/>
    <row r="1041" customFormat="false" ht="15.75" hidden="true" customHeight="false" outlineLevel="0" collapsed="false"/>
    <row r="1042" customFormat="false" ht="15.75" hidden="true" customHeight="false" outlineLevel="0" collapsed="false"/>
    <row r="1043" customFormat="false" ht="15.75" hidden="true" customHeight="false" outlineLevel="0" collapsed="false"/>
    <row r="1044" customFormat="false" ht="15.75" hidden="true" customHeight="false" outlineLevel="0" collapsed="false"/>
    <row r="1045" customFormat="false" ht="15.75" hidden="true" customHeight="false" outlineLevel="0" collapsed="false"/>
    <row r="1046" customFormat="false" ht="15.75" hidden="true" customHeight="false" outlineLevel="0" collapsed="false"/>
    <row r="1047" customFormat="false" ht="15.75" hidden="true" customHeight="false" outlineLevel="0" collapsed="false"/>
    <row r="1048" customFormat="false" ht="15.75" hidden="true" customHeight="false" outlineLevel="0" collapsed="false"/>
    <row r="1049" customFormat="false" ht="15.75" hidden="true" customHeight="false" outlineLevel="0" collapsed="false"/>
    <row r="1050" customFormat="false" ht="15.75" hidden="true" customHeight="false" outlineLevel="0" collapsed="false"/>
    <row r="1051" customFormat="false" ht="15.75" hidden="true" customHeight="false" outlineLevel="0" collapsed="false"/>
    <row r="1052" customFormat="false" ht="15.75" hidden="true" customHeight="false" outlineLevel="0" collapsed="false"/>
    <row r="1053" customFormat="false" ht="15.75" hidden="true" customHeight="false" outlineLevel="0" collapsed="false"/>
    <row r="1054" customFormat="false" ht="15.75" hidden="true" customHeight="false" outlineLevel="0" collapsed="false"/>
    <row r="1055" customFormat="false" ht="15.75" hidden="true" customHeight="false" outlineLevel="0" collapsed="false"/>
    <row r="1056" customFormat="false" ht="15.75" hidden="true" customHeight="false" outlineLevel="0" collapsed="false"/>
    <row r="1057" customFormat="false" ht="15.75" hidden="true" customHeight="false" outlineLevel="0" collapsed="false"/>
    <row r="1058" customFormat="false" ht="15.75" hidden="true" customHeight="false" outlineLevel="0" collapsed="false"/>
    <row r="1059" customFormat="false" ht="15.75" hidden="true" customHeight="false" outlineLevel="0" collapsed="false"/>
    <row r="1060" customFormat="false" ht="15.75" hidden="true" customHeight="false" outlineLevel="0" collapsed="false"/>
    <row r="1061" customFormat="false" ht="15.75" hidden="true" customHeight="false" outlineLevel="0" collapsed="false"/>
    <row r="1062" customFormat="false" ht="15.75" hidden="true" customHeight="false" outlineLevel="0" collapsed="false"/>
    <row r="1063" customFormat="false" ht="15.75" hidden="true" customHeight="false" outlineLevel="0" collapsed="false"/>
    <row r="1064" customFormat="false" ht="15.75" hidden="true" customHeight="false" outlineLevel="0" collapsed="false">
      <c r="A1064" s="95" t="s">
        <v>46</v>
      </c>
      <c r="B1064" s="25" t="n">
        <v>505</v>
      </c>
      <c r="C1064" s="26" t="n">
        <v>14</v>
      </c>
      <c r="D1064" s="27" t="n">
        <v>2.8</v>
      </c>
      <c r="E1064" s="96" t="n">
        <v>86</v>
      </c>
      <c r="F1064" s="97" t="n">
        <v>98</v>
      </c>
      <c r="G1064" s="32" t="s">
        <v>30</v>
      </c>
      <c r="H1064" s="31" t="s">
        <v>25</v>
      </c>
      <c r="I1064" s="32" t="n">
        <v>0.12</v>
      </c>
      <c r="J1064" s="33" t="n">
        <v>20</v>
      </c>
      <c r="K1064" s="30" t="s">
        <v>26</v>
      </c>
      <c r="L1064" s="32" t="n">
        <v>7</v>
      </c>
      <c r="M1064" s="98" t="n">
        <v>43752</v>
      </c>
      <c r="N1064" s="32" t="s">
        <v>47</v>
      </c>
      <c r="O1064" s="35" t="n">
        <v>43221</v>
      </c>
      <c r="P1064" s="36" t="n">
        <v>799</v>
      </c>
      <c r="Q1064" s="36" t="n">
        <v>350</v>
      </c>
      <c r="R1064" s="37" t="str">
        <f aca="false">HYPERLINK("https://amzn.to/2SX2HUi","link*")</f>
        <v>link*</v>
      </c>
      <c r="S1064" s="37" t="str">
        <f aca="false">HYPERLINK("https://www.bhphotovideo.com/c/product/1352863-REG/samyang_syio14af_e_14mm_f_2_8_f_f_wide.html/BI/19619/KBID/12129/DFF/d10-v21-t1-x837928/SID/EZ","link*")</f>
        <v>link*</v>
      </c>
      <c r="T1064" s="37" t="str">
        <f aca="false">HYPERLINK("https://amzn.to/31hwSIL","link*")</f>
        <v>link*</v>
      </c>
      <c r="U1064" s="37"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V1064" s="38"/>
    </row>
    <row r="1065" customFormat="false" ht="15.75" hidden="false" customHeight="false" outlineLevel="0" collapsed="false">
      <c r="A1065" s="99" t="str">
        <f aca="false">HYPERLINK("https://phillipreeve.net/blog/review-voigtlander-15mm-4-5-e-super-wide-heliar/","Voigtlander 15mm F4.5 Super Wide Heliar")</f>
        <v>Voigtlander 15mm F4.5 Super Wide Heliar</v>
      </c>
      <c r="B1065" s="100" t="n">
        <v>298</v>
      </c>
      <c r="C1065" s="101" t="n">
        <v>15</v>
      </c>
      <c r="D1065" s="102" t="n">
        <v>4.5</v>
      </c>
      <c r="E1065" s="103" t="n">
        <v>67</v>
      </c>
      <c r="F1065" s="104" t="n">
        <v>62</v>
      </c>
      <c r="G1065" s="105" t="s">
        <v>24</v>
      </c>
      <c r="H1065" s="106" t="s">
        <v>48</v>
      </c>
      <c r="I1065" s="107" t="n">
        <v>0.083</v>
      </c>
      <c r="J1065" s="108" t="n">
        <v>30</v>
      </c>
      <c r="K1065" s="105" t="s">
        <v>26</v>
      </c>
      <c r="L1065" s="107" t="n">
        <v>10</v>
      </c>
      <c r="M1065" s="109" t="s">
        <v>38</v>
      </c>
      <c r="N1065" s="107" t="s">
        <v>28</v>
      </c>
      <c r="O1065" s="110" t="n">
        <v>42401</v>
      </c>
      <c r="P1065" s="111" t="n">
        <v>799</v>
      </c>
      <c r="Q1065" s="111" t="n">
        <v>500</v>
      </c>
      <c r="R1065" s="112" t="str">
        <f aca="false">HYPERLINK("https://amzn.to/2YwplrQ","link*")</f>
        <v>link*</v>
      </c>
      <c r="S1065" s="112" t="str">
        <f aca="false">HYPERLINK("https://www.bhphotovideo.com/c/product/1219549-REG/voigtlander_ba329b_super_wide_heliar_15mm_f_4_5.html/BI/19619/KBID/12129/DFF/d10-v21-t1-x618202/SID/EZ","link*")</f>
        <v>link*</v>
      </c>
      <c r="T1065" s="112" t="str">
        <f aca="false">HYPERLINK("https://amzn.to/2ZpTKt5","link*")</f>
        <v>link*</v>
      </c>
      <c r="U1065" s="112"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V1065" s="38"/>
    </row>
    <row r="1066" customFormat="false" ht="15.75" hidden="true" customHeight="false" outlineLevel="0" collapsed="false">
      <c r="A1066" s="113" t="str">
        <f aca="false">HYPERLINK("https://phillipreeve.net/blog/review-sony-fe-24mm-1-4-gm/","Sony GM 1.4/24")</f>
        <v>Sony GM 1.4/24</v>
      </c>
      <c r="B1066" s="40" t="n">
        <v>445</v>
      </c>
      <c r="C1066" s="41" t="n">
        <v>24</v>
      </c>
      <c r="D1066" s="138" t="n">
        <v>1.4</v>
      </c>
      <c r="E1066" s="133" t="n">
        <v>75</v>
      </c>
      <c r="F1066" s="139" t="n">
        <v>92</v>
      </c>
      <c r="G1066" s="45" t="s">
        <v>30</v>
      </c>
      <c r="H1066" s="46" t="s">
        <v>54</v>
      </c>
      <c r="I1066" s="47" t="n">
        <v>0.17</v>
      </c>
      <c r="J1066" s="48" t="n">
        <v>25</v>
      </c>
      <c r="K1066" s="45" t="s">
        <v>26</v>
      </c>
      <c r="L1066" s="47" t="n">
        <v>11</v>
      </c>
      <c r="M1066" s="49" t="s">
        <v>27</v>
      </c>
      <c r="N1066" s="47" t="s">
        <v>32</v>
      </c>
      <c r="O1066" s="50" t="n">
        <v>43374</v>
      </c>
      <c r="P1066" s="51" t="n">
        <v>1399</v>
      </c>
      <c r="Q1066" s="51" t="n">
        <v>1500</v>
      </c>
      <c r="R1066" s="52" t="str">
        <f aca="false">HYPERLINK("https://amzn.to/2ywcbw1","link*")</f>
        <v>link*</v>
      </c>
      <c r="S1066" s="52" t="str">
        <f aca="false">HYPERLINK("https://www.bhphotovideo.com/c/product/1435887-REG/sony_fe_24mm_f_1_4_gm.html/BI/19619/KBID/12129/DFF/d10-v21-t1-x915647/SID/EZ","link*")</f>
        <v>link*</v>
      </c>
      <c r="T1066" s="52" t="str">
        <f aca="false">HYPERLINK("https://amzn.to/2L2tV9y","link*")</f>
        <v>link*</v>
      </c>
      <c r="U1066" s="52"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067" customFormat="false" ht="15.75" hidden="true" customHeight="false" outlineLevel="0" collapsed="false">
      <c r="A1067" s="80" t="s">
        <v>75</v>
      </c>
      <c r="B1067" s="81" t="n">
        <v>760</v>
      </c>
      <c r="C1067" s="82" t="n">
        <v>24</v>
      </c>
      <c r="D1067" s="142" t="n">
        <v>1.4</v>
      </c>
      <c r="E1067" s="133" t="n">
        <v>85</v>
      </c>
      <c r="F1067" s="139" t="n">
        <v>116</v>
      </c>
      <c r="G1067" s="86" t="s">
        <v>30</v>
      </c>
      <c r="H1067" s="87" t="s">
        <v>57</v>
      </c>
      <c r="I1067" s="86" t="n">
        <v>0.19</v>
      </c>
      <c r="J1067" s="88" t="n">
        <v>25</v>
      </c>
      <c r="K1067" s="89" t="s">
        <v>26</v>
      </c>
      <c r="L1067" s="86" t="n">
        <v>9</v>
      </c>
      <c r="M1067" s="122" t="n">
        <v>43784</v>
      </c>
      <c r="N1067" s="86" t="s">
        <v>43</v>
      </c>
      <c r="O1067" s="91" t="n">
        <v>43221</v>
      </c>
      <c r="P1067" s="92" t="n">
        <v>849</v>
      </c>
      <c r="Q1067" s="92" t="n">
        <v>620</v>
      </c>
      <c r="R1067" s="93" t="str">
        <f aca="false">HYPERLINK("https://amzn.to/2Isw2Rv","link*")</f>
        <v>link*</v>
      </c>
      <c r="S1067" s="93" t="str">
        <f aca="false">HYPERLINK("https://www.bhphotovideo.com/c/product/1393491-REG/sigma_24mm_f_1_4_dg_hsm.html/BI/19619/KBID/12129/kw/SI2414SO/DFF/d10-v2-t1-xSI2414SO","link*")</f>
        <v>link*</v>
      </c>
      <c r="T1067" s="93" t="str">
        <f aca="false">HYPERLINK("https://amzn.to/2K7sIP4","link*")</f>
        <v>link*</v>
      </c>
      <c r="U1067" s="93"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V1067" s="69" t="s">
        <v>260</v>
      </c>
    </row>
    <row r="1068" customFormat="false" ht="15.75" hidden="true" customHeight="false" outlineLevel="0" collapsed="false">
      <c r="A1068" s="128" t="str">
        <f aca="false">HYPERLINK("https://phillipreeve.net/blog/review-samyang-af-2-4-28-fe-at-least-its-small/","Samyang AF 24mm F/2.8")</f>
        <v>Samyang AF 24mm F/2.8</v>
      </c>
      <c r="B1068" s="81" t="n">
        <v>93</v>
      </c>
      <c r="C1068" s="82" t="n">
        <v>24</v>
      </c>
      <c r="D1068" s="83" t="n">
        <v>2.8</v>
      </c>
      <c r="E1068" s="133" t="n">
        <v>61</v>
      </c>
      <c r="F1068" s="134" t="n">
        <v>37</v>
      </c>
      <c r="G1068" s="89" t="s">
        <v>30</v>
      </c>
      <c r="H1068" s="87" t="s">
        <v>80</v>
      </c>
      <c r="I1068" s="86" t="n">
        <v>0.15</v>
      </c>
      <c r="J1068" s="88" t="n">
        <v>20</v>
      </c>
      <c r="K1068" s="89" t="s">
        <v>26</v>
      </c>
      <c r="L1068" s="86" t="n">
        <v>9</v>
      </c>
      <c r="M1068" s="126" t="s">
        <v>81</v>
      </c>
      <c r="N1068" s="86" t="s">
        <v>47</v>
      </c>
      <c r="O1068" s="91" t="n">
        <v>43282</v>
      </c>
      <c r="P1068" s="127" t="n">
        <v>279</v>
      </c>
      <c r="Q1068" s="127" t="n">
        <v>210</v>
      </c>
      <c r="R1068" s="93" t="str">
        <f aca="false">HYPERLINK("https://amzn.to/2NEHZ7c","link*")</f>
        <v>link*</v>
      </c>
      <c r="S1068" s="93" t="str">
        <f aca="false">HYPERLINK("https://www.bhphotovideo.com/c/product/1413350-REG/samyang_syio24af_e_af_24mm_f_2_8_fe.html/BI/19619/KBID/12129/kw/SASYIO24AFE/DFF/d10-v2-t1-xSASYIO24AFE","link*")</f>
        <v>link*</v>
      </c>
      <c r="T1068" s="93" t="str">
        <f aca="false">HYPERLINK("https://amzn.to/2Onv1QE","link*")</f>
        <v>link*</v>
      </c>
      <c r="U1068" s="93"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069" customFormat="false" ht="15.75" hidden="true" customHeight="false" outlineLevel="0" collapsed="false">
      <c r="A1069" s="144" t="str">
        <f aca="false">HYPERLINK("https://phillipreeve.net/blog/review-tamron-24mm-f-2-8-di-iii-osd-m12/","Tamron 24mm f/2.8 Di III OSD M1:2")</f>
        <v>Tamron 24mm f/2.8 Di III OSD M1:2</v>
      </c>
      <c r="B1069" s="81" t="n">
        <v>215</v>
      </c>
      <c r="C1069" s="82" t="n">
        <v>24</v>
      </c>
      <c r="D1069" s="83" t="n">
        <v>2.8</v>
      </c>
      <c r="E1069" s="133" t="n">
        <v>73</v>
      </c>
      <c r="F1069" s="134" t="n">
        <v>64</v>
      </c>
      <c r="G1069" s="89" t="s">
        <v>30</v>
      </c>
      <c r="H1069" s="87" t="s">
        <v>54</v>
      </c>
      <c r="I1069" s="135" t="n">
        <v>0.5</v>
      </c>
      <c r="J1069" s="88" t="n">
        <v>12</v>
      </c>
      <c r="K1069" s="89" t="s">
        <v>26</v>
      </c>
      <c r="L1069" s="86" t="n">
        <v>7</v>
      </c>
      <c r="M1069" s="126" t="s">
        <v>71</v>
      </c>
      <c r="N1069" s="86" t="s">
        <v>56</v>
      </c>
      <c r="O1069" s="91" t="n">
        <v>43796</v>
      </c>
      <c r="P1069" s="92" t="n">
        <v>349</v>
      </c>
      <c r="Q1069" s="92"/>
      <c r="R1069" s="93" t="str">
        <f aca="false">HYPERLINK("https://amzn.to/34hgYPr","link*")</f>
        <v>link*</v>
      </c>
      <c r="S1069" s="93" t="str">
        <f aca="false">HYPERLINK("https://www.bhphotovideo.com/c/product/1512042-REG/tamron_f051_24mm_f_2_8_di_iii.html/BI/19619/KBID/12129/DFF/d10-v21-t1-x994971/SID/EZ","link*")</f>
        <v>link*</v>
      </c>
      <c r="T1069" s="93" t="str">
        <f aca="false">HYPERLINK("https://amzn.to/38yg1G1","link*")</f>
        <v>link*</v>
      </c>
      <c r="U1069" s="93"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070" customFormat="false" ht="15.75" hidden="true" customHeight="false" outlineLevel="0" collapsed="false">
      <c r="A1070" s="144" t="str">
        <f aca="false">HYPERLINK("https://phillipreeve.net/blog/review-sony-fe-2-824-70mm-gm/","Sony GM 2.8/24-70")</f>
        <v>Sony GM 2.8/24-70</v>
      </c>
      <c r="B1070" s="81" t="n">
        <v>886</v>
      </c>
      <c r="C1070" s="82" t="n">
        <v>24</v>
      </c>
      <c r="D1070" s="83" t="n">
        <v>2.8</v>
      </c>
      <c r="E1070" s="133" t="n">
        <v>88</v>
      </c>
      <c r="F1070" s="134" t="n">
        <v>136</v>
      </c>
      <c r="G1070" s="89" t="s">
        <v>30</v>
      </c>
      <c r="H1070" s="87" t="s">
        <v>52</v>
      </c>
      <c r="I1070" s="135" t="n">
        <v>0.25</v>
      </c>
      <c r="J1070" s="88" t="n">
        <v>38</v>
      </c>
      <c r="K1070" s="89" t="s">
        <v>26</v>
      </c>
      <c r="L1070" s="86" t="n">
        <v>9</v>
      </c>
      <c r="M1070" s="126" t="s">
        <v>45</v>
      </c>
      <c r="N1070" s="86" t="s">
        <v>32</v>
      </c>
      <c r="O1070" s="91" t="n">
        <v>42401</v>
      </c>
      <c r="P1070" s="92" t="n">
        <v>2199</v>
      </c>
      <c r="Q1070" s="92" t="n">
        <v>1500</v>
      </c>
      <c r="R1070" s="93" t="str">
        <f aca="false">HYPERLINK("https://amzn.to/2STHavK","link*")</f>
        <v>link*</v>
      </c>
      <c r="S1070" s="93" t="str">
        <f aca="false">HYPERLINK("https://www.bhphotovideo.com/c/search?Ntt=gm%2024-70&amp;N=0&amp;InitialSearch=yes&amp;sts=ma&amp;Top+Nav-Search=&amp;BI=19619&amp;KBID=12129&amp;KWID=EZ","link*")</f>
        <v>link*</v>
      </c>
      <c r="T1070" s="93" t="str">
        <f aca="false">HYPERLINK("https://amzn.to/2ZwoyU7","link*")</f>
        <v>link*</v>
      </c>
      <c r="U1070" s="93"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071" customFormat="false" ht="15.75" hidden="true" customHeight="false" outlineLevel="0" collapsed="false">
      <c r="A1071" s="132" t="s">
        <v>82</v>
      </c>
      <c r="B1071" s="81" t="n">
        <v>835</v>
      </c>
      <c r="C1071" s="82" t="n">
        <v>24</v>
      </c>
      <c r="D1071" s="83" t="n">
        <v>2.8</v>
      </c>
      <c r="E1071" s="133" t="n">
        <v>87.8</v>
      </c>
      <c r="F1071" s="134" t="n">
        <v>122.9</v>
      </c>
      <c r="G1071" s="89" t="s">
        <v>30</v>
      </c>
      <c r="H1071" s="87" t="s">
        <v>52</v>
      </c>
      <c r="I1071" s="135" t="n">
        <v>0.29</v>
      </c>
      <c r="J1071" s="88" t="n">
        <v>18</v>
      </c>
      <c r="K1071" s="89" t="s">
        <v>26</v>
      </c>
      <c r="L1071" s="86" t="n">
        <v>11</v>
      </c>
      <c r="M1071" s="126" t="s">
        <v>83</v>
      </c>
      <c r="N1071" s="86" t="s">
        <v>43</v>
      </c>
      <c r="O1071" s="91" t="n">
        <v>43799</v>
      </c>
      <c r="P1071" s="145" t="s">
        <v>84</v>
      </c>
      <c r="Q1071" s="92"/>
      <c r="R1071" s="93" t="str">
        <f aca="false">HYPERLINK("https://amzn.to/2YPjpb1","link*")</f>
        <v>link*</v>
      </c>
      <c r="S1071" s="93" t="str">
        <f aca="false">HYPERLINK("https://www.bhphotovideo.com/c/product/1516303-REG/sigma_24_70mm_f_2_8_dg_dn.html/BI/19619/KBID/12129/DFF/d10-v21-t1-x999330/SID/EZ","link*")</f>
        <v>link*</v>
      </c>
      <c r="T1071" s="94" t="s">
        <v>33</v>
      </c>
      <c r="U1071" s="94" t="s">
        <v>33</v>
      </c>
    </row>
    <row r="1072" customFormat="false" ht="15.75" hidden="true" customHeight="false" outlineLevel="0" collapsed="false">
      <c r="A1072" s="80" t="s">
        <v>89</v>
      </c>
      <c r="B1072" s="81" t="n">
        <v>780</v>
      </c>
      <c r="C1072" s="82" t="n">
        <v>24</v>
      </c>
      <c r="D1072" s="83" t="s">
        <v>90</v>
      </c>
      <c r="E1072" s="133" t="n">
        <v>80</v>
      </c>
      <c r="F1072" s="134" t="n">
        <v>119</v>
      </c>
      <c r="G1072" s="89" t="s">
        <v>30</v>
      </c>
      <c r="H1072" s="87" t="s">
        <v>49</v>
      </c>
      <c r="I1072" s="135" t="n">
        <v>0.27</v>
      </c>
      <c r="J1072" s="88" t="n">
        <v>50</v>
      </c>
      <c r="K1072" s="174" t="s">
        <v>50</v>
      </c>
      <c r="L1072" s="86" t="n">
        <v>7</v>
      </c>
      <c r="M1072" s="126" t="s">
        <v>91</v>
      </c>
      <c r="N1072" s="86" t="s">
        <v>32</v>
      </c>
      <c r="O1072" s="91" t="n">
        <v>42064</v>
      </c>
      <c r="P1072" s="92" t="n">
        <v>998</v>
      </c>
      <c r="Q1072" s="92" t="n">
        <v>600</v>
      </c>
      <c r="R1072" s="93" t="str">
        <f aca="false">HYPERLINK("http://amzn.to/2fbX5FU","link*")</f>
        <v>link*</v>
      </c>
      <c r="S1072" s="93" t="str">
        <f aca="false">HYPERLINK("https://www.bhphotovideo.com/c/search?Ntt=sony%2024-240&amp;N=0&amp;InitialSearch=yes&amp;sts=ma&amp;Top+Nav-Search=&amp;BI=19619&amp;KBID=12129&amp;KWID=EZ","link*")</f>
        <v>link*</v>
      </c>
      <c r="T1072" s="93" t="str">
        <f aca="false">HYPERLINK("http://amzn.to/2wyrL7A","link*")</f>
        <v>link*</v>
      </c>
      <c r="U1072" s="93"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073" customFormat="false" ht="15.75" hidden="true" customHeight="false" outlineLevel="0" collapsed="false">
      <c r="A1073" s="80" t="s">
        <v>92</v>
      </c>
      <c r="B1073" s="81" t="n">
        <v>663</v>
      </c>
      <c r="C1073" s="82" t="n">
        <v>24</v>
      </c>
      <c r="D1073" s="83" t="n">
        <v>4</v>
      </c>
      <c r="E1073" s="133" t="n">
        <v>83</v>
      </c>
      <c r="F1073" s="139" t="n">
        <v>113</v>
      </c>
      <c r="G1073" s="89" t="s">
        <v>30</v>
      </c>
      <c r="H1073" s="87" t="s">
        <v>57</v>
      </c>
      <c r="I1073" s="135" t="n">
        <v>0.31</v>
      </c>
      <c r="J1073" s="88" t="n">
        <v>38</v>
      </c>
      <c r="K1073" s="174" t="s">
        <v>50</v>
      </c>
      <c r="L1073" s="86" t="n">
        <v>9</v>
      </c>
      <c r="M1073" s="126" t="s">
        <v>35</v>
      </c>
      <c r="N1073" s="86" t="s">
        <v>32</v>
      </c>
      <c r="O1073" s="91" t="n">
        <v>43009</v>
      </c>
      <c r="P1073" s="92" t="n">
        <v>1398</v>
      </c>
      <c r="Q1073" s="69" t="n">
        <v>1050</v>
      </c>
      <c r="R1073" s="93" t="str">
        <f aca="false">HYPERLINK("https://amzn.to/2K7LwMR","link*")</f>
        <v>link*</v>
      </c>
      <c r="S1073" s="93" t="str">
        <f aca="false">HYPERLINK("https://www.bhphotovideo.com/c/search?Ntt=sony%2024-105&amp;N=0&amp;InitialSearch=yes&amp;sts=ma&amp;Top+Nav-Search=&amp;BI=19619&amp;KBID=12129&amp;KWID=EZ","link*")</f>
        <v>link*</v>
      </c>
      <c r="T1073" s="93" t="str">
        <f aca="false">HYPERLINK("https://amzn.to/2Ld8hOS","link*")</f>
        <v>link*</v>
      </c>
      <c r="U1073" s="93"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074" customFormat="false" ht="15.75" hidden="true" customHeight="false" outlineLevel="0" collapsed="false">
      <c r="A1074" s="24" t="str">
        <f aca="false">HYPERLINK("https://phillipreeve.net/blog/rolling-review-carl-zeiss-vario-tessar-t-fe-424-70-za/","Sony ZA 4/24-70 OSS")</f>
        <v>Sony ZA 4/24-70 OSS</v>
      </c>
      <c r="B1074" s="25" t="n">
        <v>426</v>
      </c>
      <c r="C1074" s="26" t="n">
        <v>24</v>
      </c>
      <c r="D1074" s="27" t="n">
        <v>4</v>
      </c>
      <c r="E1074" s="130" t="n">
        <v>73</v>
      </c>
      <c r="F1074" s="175" t="n">
        <v>95</v>
      </c>
      <c r="G1074" s="30" t="s">
        <v>30</v>
      </c>
      <c r="H1074" s="31" t="s">
        <v>54</v>
      </c>
      <c r="I1074" s="32" t="n">
        <v>0.2</v>
      </c>
      <c r="J1074" s="33" t="n">
        <v>40</v>
      </c>
      <c r="K1074" s="176" t="s">
        <v>50</v>
      </c>
      <c r="L1074" s="32" t="n">
        <v>7</v>
      </c>
      <c r="M1074" s="34" t="s">
        <v>38</v>
      </c>
      <c r="N1074" s="32" t="s">
        <v>32</v>
      </c>
      <c r="O1074" s="35" t="n">
        <v>41640</v>
      </c>
      <c r="P1074" s="36" t="n">
        <v>898</v>
      </c>
      <c r="Q1074" s="36" t="n">
        <v>420</v>
      </c>
      <c r="R1074" s="37" t="str">
        <f aca="false">HYPERLINK("http://amzn.to/2vlG2Yq","link*")</f>
        <v>link*</v>
      </c>
      <c r="S1074" s="37" t="str">
        <f aca="false">HYPERLINK("https://www.bhphotovideo.com/c/product/1008126-REG/sony_sel2470z_vario_tessar_t_fe_24_70mm.html/BI/19619/KBID/12129/DFF/d10-v21-t1-x466842/SID/EZ","link*")</f>
        <v>link*</v>
      </c>
      <c r="T1074" s="37" t="str">
        <f aca="false">HYPERLINK("http://amzn.to/2fl1XZk","link*")</f>
        <v>link*</v>
      </c>
      <c r="U1074" s="37"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074" s="38"/>
    </row>
    <row r="1075" customFormat="false" ht="15.75" hidden="true" customHeight="false" outlineLevel="0" collapsed="false">
      <c r="A1075" s="113" t="str">
        <f aca="false">HYPERLINK("https://phillipreeve.net/blog/review-zeiss-batis-distagon-t-25mm-f2/","Zeiss Batis 2/25")</f>
        <v>Zeiss Batis 2/25</v>
      </c>
      <c r="B1075" s="40" t="n">
        <v>335</v>
      </c>
      <c r="C1075" s="41" t="n">
        <v>25</v>
      </c>
      <c r="D1075" s="42" t="n">
        <v>2</v>
      </c>
      <c r="E1075" s="133" t="n">
        <v>92</v>
      </c>
      <c r="F1075" s="139" t="n">
        <v>78</v>
      </c>
      <c r="G1075" s="45" t="s">
        <v>30</v>
      </c>
      <c r="H1075" s="46" t="s">
        <v>54</v>
      </c>
      <c r="I1075" s="47" t="n">
        <v>0.19</v>
      </c>
      <c r="J1075" s="48" t="n">
        <v>20</v>
      </c>
      <c r="K1075" s="45" t="s">
        <v>26</v>
      </c>
      <c r="L1075" s="47" t="n">
        <v>9</v>
      </c>
      <c r="M1075" s="49" t="s">
        <v>93</v>
      </c>
      <c r="N1075" s="47" t="s">
        <v>59</v>
      </c>
      <c r="O1075" s="50" t="n">
        <v>42125</v>
      </c>
      <c r="P1075" s="51" t="n">
        <v>1299</v>
      </c>
      <c r="Q1075" s="51" t="n">
        <v>675</v>
      </c>
      <c r="R1075" s="52" t="str">
        <f aca="false">HYPERLINK("https://amzn.to/2ypHQiT","link*")</f>
        <v>link*</v>
      </c>
      <c r="S1075" s="52" t="str">
        <f aca="false">HYPERLINK("https://www.bhphotovideo.com/c/product/1140832-REG/zeiss_2103_750_25mm_f_2_0_batis_wide.html/BI/19619/KBID/12129/DFF/d10-v21-t1-x627141/SID/EZ","link*")</f>
        <v>link*</v>
      </c>
      <c r="T1075" s="52" t="str">
        <f aca="false">HYPERLINK("https://amzn.to/2L20DIj","link*")</f>
        <v>link*</v>
      </c>
      <c r="U1075" s="52"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076" customFormat="false" ht="15.75" hidden="true" customHeight="false" outlineLevel="0" collapsed="false">
      <c r="A1076" s="113" t="str">
        <f aca="false">HYPERLINK("https://phillipreeve.net/blog/sony-fe-16-35mm-f4-za-t-review/","Sony ZA 4/16-35 OSS ")</f>
        <v>Sony ZA 4/16-35 OSS </v>
      </c>
      <c r="B1076" s="40" t="n">
        <v>523</v>
      </c>
      <c r="C1076" s="41" t="n">
        <v>16</v>
      </c>
      <c r="D1076" s="42" t="n">
        <v>4</v>
      </c>
      <c r="E1076" s="43" t="n">
        <v>78</v>
      </c>
      <c r="F1076" s="44" t="n">
        <v>98</v>
      </c>
      <c r="G1076" s="45" t="s">
        <v>30</v>
      </c>
      <c r="H1076" s="46" t="s">
        <v>49</v>
      </c>
      <c r="I1076" s="47" t="n">
        <v>0.19</v>
      </c>
      <c r="J1076" s="48" t="n">
        <v>28</v>
      </c>
      <c r="K1076" s="114" t="s">
        <v>50</v>
      </c>
      <c r="L1076" s="47" t="n">
        <v>7</v>
      </c>
      <c r="M1076" s="49" t="s">
        <v>38</v>
      </c>
      <c r="N1076" s="47" t="s">
        <v>32</v>
      </c>
      <c r="O1076" s="50" t="n">
        <v>41883</v>
      </c>
      <c r="P1076" s="51" t="n">
        <v>1349</v>
      </c>
      <c r="Q1076" s="51" t="n">
        <v>750</v>
      </c>
      <c r="R1076" s="52" t="str">
        <f aca="false">HYPERLINK("http://amzn.to/2v2sY7q","link*")</f>
        <v>link*</v>
      </c>
      <c r="S1076" s="52" t="str">
        <f aca="false">HYPERLINK("https://www.bhphotovideo.com/c/product/1380866-REG/sony_16_35mm_f_4_vario_tsr.html/BI/19619/KBID/12129/kw/SO16354F/DFF/d10-v2-t1-xSO16354F","link*")</f>
        <v>link*</v>
      </c>
      <c r="T1076" s="52" t="str">
        <f aca="false">HYPERLINK("http://amzn.to/2wyMLuP","link*")</f>
        <v>link*</v>
      </c>
      <c r="U1076" s="52"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077" customFormat="false" ht="15.75" hidden="true" customHeight="false" outlineLevel="0" collapsed="false">
      <c r="A1077" s="39" t="s">
        <v>94</v>
      </c>
      <c r="B1077" s="40" t="n">
        <v>965</v>
      </c>
      <c r="C1077" s="41" t="n">
        <v>28</v>
      </c>
      <c r="D1077" s="42" t="n">
        <v>1.4</v>
      </c>
      <c r="E1077" s="133" t="n">
        <v>83</v>
      </c>
      <c r="F1077" s="139" t="n">
        <v>134</v>
      </c>
      <c r="G1077" s="45" t="s">
        <v>30</v>
      </c>
      <c r="H1077" s="46" t="s">
        <v>57</v>
      </c>
      <c r="I1077" s="47" t="n">
        <v>0.19</v>
      </c>
      <c r="J1077" s="48" t="n">
        <v>28</v>
      </c>
      <c r="K1077" s="45" t="s">
        <v>26</v>
      </c>
      <c r="L1077" s="47" t="n">
        <v>9</v>
      </c>
      <c r="M1077" s="49" t="s">
        <v>91</v>
      </c>
      <c r="N1077" s="47" t="s">
        <v>43</v>
      </c>
      <c r="O1077" s="50" t="n">
        <v>43435</v>
      </c>
      <c r="P1077" s="51" t="n">
        <v>1399</v>
      </c>
      <c r="Q1077" s="51" t="s">
        <v>36</v>
      </c>
      <c r="R1077" s="52" t="str">
        <f aca="false">HYPERLINK("https://amzn.to/2Wn0pxO","link*")</f>
        <v>link*</v>
      </c>
      <c r="S1077" s="52" t="str">
        <f aca="false">HYPERLINK("https://www.bhphotovideo.com/c/product/1436285-REG/sigma_28mm_f_1_4_dg_hsm.html/BI/19619/KBID/12129/kw/SI2814DGSE/DFF/d10-v2-t1-xSI2814DGSE","link*")</f>
        <v>link*</v>
      </c>
      <c r="T1077" s="52" t="str">
        <f aca="false">HYPERLINK("https://amzn.to/2WzVkHd","link*")</f>
        <v>link*</v>
      </c>
      <c r="U1077" s="52"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078" customFormat="false" ht="15.75" hidden="true" customHeight="false" outlineLevel="0" collapsed="false">
      <c r="A1078" s="128" t="str">
        <f aca="false">HYPERLINK("https://www.systemkamera-forum.de/blog/2015/05/sony-fe-28mm-f2-test-und-erfahrungsbericht/","Sony FE 2/28")</f>
        <v>Sony FE 2/28</v>
      </c>
      <c r="B1078" s="81" t="n">
        <v>200</v>
      </c>
      <c r="C1078" s="82" t="n">
        <v>28</v>
      </c>
      <c r="D1078" s="83" t="n">
        <v>2</v>
      </c>
      <c r="E1078" s="133" t="n">
        <v>60</v>
      </c>
      <c r="F1078" s="139" t="n">
        <v>60</v>
      </c>
      <c r="G1078" s="89" t="s">
        <v>30</v>
      </c>
      <c r="H1078" s="87" t="s">
        <v>80</v>
      </c>
      <c r="I1078" s="86" t="n">
        <v>0.13</v>
      </c>
      <c r="J1078" s="88" t="n">
        <v>29</v>
      </c>
      <c r="K1078" s="89" t="s">
        <v>26</v>
      </c>
      <c r="L1078" s="86" t="n">
        <v>9</v>
      </c>
      <c r="M1078" s="126" t="s">
        <v>61</v>
      </c>
      <c r="N1078" s="86" t="s">
        <v>32</v>
      </c>
      <c r="O1078" s="91" t="n">
        <v>42064</v>
      </c>
      <c r="P1078" s="145" t="n">
        <v>448</v>
      </c>
      <c r="Q1078" s="145" t="n">
        <v>280</v>
      </c>
      <c r="R1078" s="93" t="str">
        <f aca="false">HYPERLINK("https://amzn.to/2GXJWdo","link*")</f>
        <v>link*</v>
      </c>
      <c r="S1078" s="93" t="str">
        <f aca="false">HYPERLINK("https://www.bhphotovideo.com/c/product/1402637-REG/sony_fe_28mm_f_2_lens.html/BI/19619/KBID/12129/kw/SO2820F/DFF/d10-v2-t1-xSO2820F","link*")</f>
        <v>link*</v>
      </c>
      <c r="T1078" s="93" t="str">
        <f aca="false">HYPERLINK("http://amzn.to/2wyLOCO","link*")</f>
        <v>link*</v>
      </c>
      <c r="U1078" s="93"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079" customFormat="false" ht="15.75" hidden="true" customHeight="false" outlineLevel="0" collapsed="false">
      <c r="A1079" s="128" t="str">
        <f aca="false">HYPERLINK("https://phillipreeve.net/blog/review-tamron-28-75mm-f-2-8-di-iii-rxd-sony-e-mount/","Tamron 2.8/28-75")</f>
        <v>Tamron 2.8/28-75</v>
      </c>
      <c r="B1079" s="81" t="n">
        <v>550</v>
      </c>
      <c r="C1079" s="82" t="n">
        <v>28</v>
      </c>
      <c r="D1079" s="83" t="n">
        <v>2.8</v>
      </c>
      <c r="E1079" s="133" t="n">
        <v>73</v>
      </c>
      <c r="F1079" s="139" t="n">
        <v>118</v>
      </c>
      <c r="G1079" s="89" t="s">
        <v>30</v>
      </c>
      <c r="H1079" s="87" t="s">
        <v>54</v>
      </c>
      <c r="I1079" s="135" t="n">
        <v>0.34</v>
      </c>
      <c r="J1079" s="88" t="n">
        <v>19</v>
      </c>
      <c r="K1079" s="89" t="s">
        <v>26</v>
      </c>
      <c r="L1079" s="86" t="n">
        <v>9</v>
      </c>
      <c r="M1079" s="126" t="s">
        <v>95</v>
      </c>
      <c r="N1079" s="86" t="s">
        <v>56</v>
      </c>
      <c r="O1079" s="91" t="n">
        <v>43252</v>
      </c>
      <c r="P1079" s="145" t="n">
        <v>879</v>
      </c>
      <c r="Q1079" s="92" t="n">
        <v>790</v>
      </c>
      <c r="R1079" s="93" t="str">
        <f aca="false">HYPERLINK("https://amzn.to/2ST5uxq","link*")</f>
        <v>link*</v>
      </c>
      <c r="S1079" s="93" t="str">
        <f aca="false">HYPERLINK("https://www.bhphotovideo.com/c/product/1393332-REG/tamron_a036_28_75mm_f_2_8_di_iii.html/BI/19619/KBID/12129/DFF/d10-v21-t1-x892059/SID/EZ","link*")</f>
        <v>link*</v>
      </c>
      <c r="T1079" s="93" t="str">
        <f aca="false">HYPERLINK("https://amzn.to/2ZmSzdU","link*")</f>
        <v>link*</v>
      </c>
      <c r="U1079" s="93"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080" customFormat="false" ht="15.75" hidden="true" customHeight="false" outlineLevel="0" collapsed="false">
      <c r="A1080" s="80" t="s">
        <v>102</v>
      </c>
      <c r="B1080" s="81" t="n">
        <v>295</v>
      </c>
      <c r="C1080" s="82" t="n">
        <v>28</v>
      </c>
      <c r="D1080" s="83" t="s">
        <v>103</v>
      </c>
      <c r="E1080" s="133" t="n">
        <v>73</v>
      </c>
      <c r="F1080" s="139" t="n">
        <v>83</v>
      </c>
      <c r="G1080" s="89" t="s">
        <v>30</v>
      </c>
      <c r="H1080" s="87" t="s">
        <v>78</v>
      </c>
      <c r="I1080" s="86" t="n">
        <v>0.19</v>
      </c>
      <c r="J1080" s="88" t="n">
        <v>30</v>
      </c>
      <c r="K1080" s="174" t="s">
        <v>50</v>
      </c>
      <c r="L1080" s="86" t="n">
        <v>7</v>
      </c>
      <c r="M1080" s="126" t="s">
        <v>61</v>
      </c>
      <c r="N1080" s="86" t="s">
        <v>32</v>
      </c>
      <c r="O1080" s="91" t="n">
        <v>41548</v>
      </c>
      <c r="P1080" s="92" t="n">
        <v>398</v>
      </c>
      <c r="Q1080" s="92" t="n">
        <v>110</v>
      </c>
      <c r="R1080" s="93" t="str">
        <f aca="false">HYPERLINK("https://www.amazon.com/gp/product/B00FYOFADE/ref=as_li_tl?ie=UTF8&amp;tag=wwwphillipree-20&amp;camp=1789&amp;creative=9325&amp;linkCode=as2&amp;creativeASIN=B00FYOFADE&amp;linkId=96720b245156eae53bb1a672d4453d3f","link*")</f>
        <v>link*</v>
      </c>
      <c r="S1080" s="93" t="str">
        <f aca="false">HYPERLINK("https://www.bhphotovideo.com/c/product/1015472-REG/sony_sel2870_fe_28_70mm_f_3_5_5_6_oss.html/BI/19619/KBID/12129/DFF/d10-v21-t1-x473993/SID/EZ","link*")</f>
        <v>link*</v>
      </c>
      <c r="T1080" s="93" t="str">
        <f aca="false">HYPERLINK("https://www.amazon.de/gp/product/B00HSHFPD0/ref=as_li_tl?ie=UTF8&amp;tag=wwwphillipree-21&amp;camp=1638&amp;creative=6742&amp;linkCode=as2&amp;creativeASIN=B00HSHFPD0&amp;linkId=6701f30673f8a4071232ca85e1953506","link*")</f>
        <v>link*</v>
      </c>
      <c r="U1080" s="93"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081" customFormat="false" ht="15.75" hidden="true" customHeight="false" outlineLevel="0" collapsed="false">
      <c r="A1081" s="95" t="s">
        <v>104</v>
      </c>
      <c r="B1081" s="25" t="n">
        <v>1215</v>
      </c>
      <c r="C1081" s="26" t="n">
        <v>28</v>
      </c>
      <c r="D1081" s="27" t="n">
        <v>4</v>
      </c>
      <c r="E1081" s="130" t="n">
        <v>105</v>
      </c>
      <c r="F1081" s="175" t="n">
        <v>165</v>
      </c>
      <c r="G1081" s="30" t="s">
        <v>30</v>
      </c>
      <c r="H1081" s="195" t="s">
        <v>105</v>
      </c>
      <c r="I1081" s="32"/>
      <c r="J1081" s="33" t="n">
        <v>40</v>
      </c>
      <c r="K1081" s="176" t="s">
        <v>50</v>
      </c>
      <c r="L1081" s="32" t="n">
        <v>9</v>
      </c>
      <c r="M1081" s="34" t="s">
        <v>106</v>
      </c>
      <c r="N1081" s="32" t="s">
        <v>32</v>
      </c>
      <c r="O1081" s="35" t="n">
        <v>41883</v>
      </c>
      <c r="P1081" s="36" t="n">
        <v>2498</v>
      </c>
      <c r="Q1081" s="36" t="n">
        <v>1400</v>
      </c>
      <c r="R1081" s="37" t="str">
        <f aca="false">HYPERLINK("http://amzn.to/2v2kiy9","link*")</f>
        <v>link*</v>
      </c>
      <c r="S1081" s="37" t="str">
        <f aca="false">HYPERLINK("https://www.bhphotovideo.com/c/product/1082051-REG/sony_selp28135g_e_pz_28_135mm_f_4.html/BI/19619/KBID/12129/DFF/d10-v21-t1-x556056/SID/EZ","link*")</f>
        <v>link*</v>
      </c>
      <c r="T1081" s="37" t="str">
        <f aca="false">HYPERLINK("http://amzn.to/2wlpg9b","link*")</f>
        <v>link*</v>
      </c>
      <c r="U1081" s="37"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081" s="38" t="s">
        <v>107</v>
      </c>
    </row>
    <row r="1082" customFormat="false" ht="15.75" hidden="true" customHeight="false" outlineLevel="0" collapsed="false">
      <c r="A1082" s="113" t="str">
        <f aca="false">HYPERLINK("https://phillipreeve.net/blog/review-sigma-35mm-1-2-art-dg-dn/","Sigma Art 1.2/35")</f>
        <v>Sigma Art 1.2/35</v>
      </c>
      <c r="B1082" s="40" t="n">
        <v>1090</v>
      </c>
      <c r="C1082" s="41" t="n">
        <v>35</v>
      </c>
      <c r="D1082" s="201" t="n">
        <v>1.2</v>
      </c>
      <c r="E1082" s="133" t="n">
        <v>88</v>
      </c>
      <c r="F1082" s="139" t="n">
        <v>136</v>
      </c>
      <c r="G1082" s="47" t="s">
        <v>30</v>
      </c>
      <c r="H1082" s="202" t="s">
        <v>52</v>
      </c>
      <c r="I1082" s="47" t="n">
        <v>0.19</v>
      </c>
      <c r="J1082" s="48" t="n">
        <v>30</v>
      </c>
      <c r="K1082" s="45" t="s">
        <v>26</v>
      </c>
      <c r="L1082" s="47" t="n">
        <v>11</v>
      </c>
      <c r="M1082" s="79" t="n">
        <v>43816</v>
      </c>
      <c r="N1082" s="47" t="s">
        <v>43</v>
      </c>
      <c r="O1082" s="50" t="n">
        <v>43647</v>
      </c>
      <c r="P1082" s="51" t="n">
        <v>1499</v>
      </c>
      <c r="Q1082" s="51" t="s">
        <v>36</v>
      </c>
      <c r="R1082" s="52" t="str">
        <f aca="false">HYPERLINK("https://amzn.to/2LiHhxc","link*")</f>
        <v>link*</v>
      </c>
      <c r="S1082" s="52" t="str">
        <f aca="false">HYPERLINK("https://www.bhphotovideo.com/c/product/1492967-REG/sigma_341969_35mm_f_1_2_dg_dn.html/BI/19619/KBID/12129/DFF/d10-v21-t1-x976038/SID/EZ","link*")</f>
        <v>link*</v>
      </c>
      <c r="T1082" s="140"/>
      <c r="U1082" s="52"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083" customFormat="false" ht="15.75" hidden="true" customHeight="false" outlineLevel="0" collapsed="false">
      <c r="A1083" s="128" t="str">
        <f aca="false">HYPERLINK("https://phillipreeve.net/blog/review-sony-fe-35mm-1-4-za/","Sony ZA 1.4/35")</f>
        <v>Sony ZA 1.4/35</v>
      </c>
      <c r="B1083" s="81" t="n">
        <v>630</v>
      </c>
      <c r="C1083" s="82" t="n">
        <v>35</v>
      </c>
      <c r="D1083" s="83" t="n">
        <v>1.4</v>
      </c>
      <c r="E1083" s="133" t="n">
        <v>79</v>
      </c>
      <c r="F1083" s="139" t="n">
        <v>112</v>
      </c>
      <c r="G1083" s="86" t="s">
        <v>30</v>
      </c>
      <c r="H1083" s="87" t="s">
        <v>49</v>
      </c>
      <c r="I1083" s="86" t="n">
        <v>0.18</v>
      </c>
      <c r="J1083" s="88" t="n">
        <v>30</v>
      </c>
      <c r="K1083" s="89" t="s">
        <v>26</v>
      </c>
      <c r="L1083" s="86" t="n">
        <v>9</v>
      </c>
      <c r="M1083" s="122" t="n">
        <v>43689</v>
      </c>
      <c r="N1083" s="86" t="s">
        <v>32</v>
      </c>
      <c r="O1083" s="91" t="n">
        <v>42064</v>
      </c>
      <c r="P1083" s="92" t="n">
        <v>1599</v>
      </c>
      <c r="Q1083" s="92" t="n">
        <v>900</v>
      </c>
      <c r="R1083" s="93" t="str">
        <f aca="false">HYPERLINK("https://amzn.to/2LRSMOS","link*")</f>
        <v>link*</v>
      </c>
      <c r="S1083" s="93" t="str">
        <f aca="false">HYPERLINK("https://www.bhphotovideo.com/c/product/1126137-REG/sony_sel35f14z_distagon_t_fe_35mm.html/BI/19619/KBID/12129/DFF/d10-v21-t1-x612725/SID/EZ","link*")</f>
        <v>link*</v>
      </c>
      <c r="T1083" s="93" t="str">
        <f aca="false">HYPERLINK("https://amzn.to/2ZmfSnX","link*")</f>
        <v>link*</v>
      </c>
      <c r="U1083" s="93"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084" customFormat="false" ht="15.75" hidden="true" customHeight="false" outlineLevel="0" collapsed="false">
      <c r="A1084" s="128" t="str">
        <f aca="false">HYPERLINK("https://phillipreeve.net/blog/review-samyang-af-35-1-4-fe/","Samyang 1.4/35")</f>
        <v>Samyang 1.4/35</v>
      </c>
      <c r="B1084" s="81" t="n">
        <v>645</v>
      </c>
      <c r="C1084" s="82" t="n">
        <v>35</v>
      </c>
      <c r="D1084" s="83" t="n">
        <v>1.4</v>
      </c>
      <c r="E1084" s="133" t="n">
        <v>76</v>
      </c>
      <c r="F1084" s="134" t="n">
        <v>115</v>
      </c>
      <c r="G1084" s="86" t="s">
        <v>30</v>
      </c>
      <c r="H1084" s="87" t="s">
        <v>54</v>
      </c>
      <c r="I1084" s="86" t="n">
        <v>0.17</v>
      </c>
      <c r="J1084" s="88" t="n">
        <v>30</v>
      </c>
      <c r="K1084" s="89" t="s">
        <v>26</v>
      </c>
      <c r="L1084" s="86" t="n">
        <v>9</v>
      </c>
      <c r="M1084" s="122" t="n">
        <v>43719</v>
      </c>
      <c r="N1084" s="86" t="s">
        <v>47</v>
      </c>
      <c r="O1084" s="91" t="n">
        <v>43009</v>
      </c>
      <c r="P1084" s="92" t="n">
        <v>599</v>
      </c>
      <c r="Q1084" s="92" t="n">
        <v>400</v>
      </c>
      <c r="R1084" s="93" t="str">
        <f aca="false">HYPERLINK("https://amzn.to/2K8DDXH","link*")</f>
        <v>link*</v>
      </c>
      <c r="S1084" s="93" t="str">
        <f aca="false">HYPERLINK("https://www.bhphotovideo.com/c/product/1373698-REG/samyang_syio3514_e_35mm_f1_4_auto_focus.html/BI/19619/KBID/12129/DFF/d10-v21-t1-x858016/SID/EZ","link*")</f>
        <v>link*</v>
      </c>
      <c r="T1084" s="93" t="str">
        <f aca="false">HYPERLINK("https://amzn.to/2Zhl3FI","link*")</f>
        <v>link*</v>
      </c>
      <c r="U1084" s="93"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V1084" s="69" t="s">
        <v>262</v>
      </c>
    </row>
    <row r="1085" customFormat="false" ht="15.75" hidden="true" customHeight="false" outlineLevel="0" collapsed="false">
      <c r="A1085" s="95" t="s">
        <v>51</v>
      </c>
      <c r="B1085" s="25" t="n">
        <v>680</v>
      </c>
      <c r="C1085" s="26" t="n">
        <v>16</v>
      </c>
      <c r="D1085" s="27" t="n">
        <v>2.8</v>
      </c>
      <c r="E1085" s="96" t="n">
        <v>89</v>
      </c>
      <c r="F1085" s="97" t="n">
        <v>122</v>
      </c>
      <c r="G1085" s="30" t="s">
        <v>30</v>
      </c>
      <c r="H1085" s="31" t="s">
        <v>52</v>
      </c>
      <c r="I1085" s="32" t="n">
        <v>0.19</v>
      </c>
      <c r="J1085" s="33" t="n">
        <v>28</v>
      </c>
      <c r="K1085" s="30" t="s">
        <v>26</v>
      </c>
      <c r="L1085" s="32" t="n">
        <v>11</v>
      </c>
      <c r="M1085" s="34" t="s">
        <v>53</v>
      </c>
      <c r="N1085" s="32" t="s">
        <v>32</v>
      </c>
      <c r="O1085" s="35" t="n">
        <v>42856</v>
      </c>
      <c r="P1085" s="36" t="n">
        <v>2199</v>
      </c>
      <c r="Q1085" s="36" t="n">
        <v>1650</v>
      </c>
      <c r="R1085" s="37" t="str">
        <f aca="false">HYPERLINK("https://amzn.to/2SR0IRl","link*")</f>
        <v>link*</v>
      </c>
      <c r="S1085" s="37" t="str">
        <f aca="false">HYPERLINK("https://www.bhphotovideo.com/c/product/1338516-REG/sony_sel1635gm_fe_16_35mm_f_2_8_gm.html/BI/19619/KBID/12129/DFF/d10-v21-t1-x822837/SID/EZ","link*")</f>
        <v>link*</v>
      </c>
      <c r="T1085" s="37" t="str">
        <f aca="false">HYPERLINK("https://amzn.to/2T1ZxOU","link*")</f>
        <v>link*</v>
      </c>
      <c r="U1085" s="37"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V1085" s="38"/>
    </row>
    <row r="1086" customFormat="false" ht="15.75" hidden="true" customHeight="false" outlineLevel="0" collapsed="false">
      <c r="A1086" s="128" t="str">
        <f aca="false">HYPERLINK("https://phillipreeve.net/blog/review-sigma-35mm-1-4-art/","Sigma Art 1.4/35")</f>
        <v>Sigma Art 1.4/35</v>
      </c>
      <c r="B1086" s="81" t="n">
        <v>740</v>
      </c>
      <c r="C1086" s="82" t="n">
        <v>35</v>
      </c>
      <c r="D1086" s="83" t="n">
        <v>1.4</v>
      </c>
      <c r="E1086" s="133" t="n">
        <v>77</v>
      </c>
      <c r="F1086" s="134" t="n">
        <v>121</v>
      </c>
      <c r="G1086" s="86" t="s">
        <v>30</v>
      </c>
      <c r="H1086" s="87" t="s">
        <v>54</v>
      </c>
      <c r="I1086" s="86" t="n">
        <v>0.19</v>
      </c>
      <c r="J1086" s="88" t="n">
        <v>30</v>
      </c>
      <c r="K1086" s="89" t="s">
        <v>26</v>
      </c>
      <c r="L1086" s="86" t="n">
        <v>9</v>
      </c>
      <c r="M1086" s="122" t="n">
        <v>43782</v>
      </c>
      <c r="N1086" s="86" t="s">
        <v>43</v>
      </c>
      <c r="O1086" s="91" t="n">
        <v>43221</v>
      </c>
      <c r="P1086" s="145" t="n">
        <v>899</v>
      </c>
      <c r="Q1086" s="145" t="n">
        <v>600</v>
      </c>
      <c r="R1086" s="93" t="str">
        <f aca="false">HYPERLINK("https://amzn.to/2LOaQcZ","link*")</f>
        <v>link*</v>
      </c>
      <c r="S1086" s="93" t="str">
        <f aca="false">HYPERLINK("https://www.bhphotovideo.com/c/product/1393492-REG/sigma_35mm_f_1_4_dg_hsm.html/BI/19619/KBID/12129/DFF/d10-v21-t1-x881157/SID/EZ","link*")</f>
        <v>link*</v>
      </c>
      <c r="T1086" s="93" t="str">
        <f aca="false">HYPERLINK("https://amzn.to/2ZrfakE","link*")</f>
        <v>link*</v>
      </c>
      <c r="U1086" s="93"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V1086" s="69" t="s">
        <v>260</v>
      </c>
    </row>
    <row r="1087" customFormat="false" ht="15.75" hidden="true" customHeight="false" outlineLevel="0" collapsed="false">
      <c r="A1087" s="128" t="str">
        <f aca="false">HYPERLINK("https://phillipreeve.net/blog/review-sony-fe-35mm-f1-8/","Sony FE 1.8/35")</f>
        <v>Sony FE 1.8/35</v>
      </c>
      <c r="B1087" s="81" t="n">
        <v>280</v>
      </c>
      <c r="C1087" s="82" t="n">
        <v>35</v>
      </c>
      <c r="D1087" s="83" t="n">
        <v>1.8</v>
      </c>
      <c r="E1087" s="133" t="n">
        <v>66</v>
      </c>
      <c r="F1087" s="134" t="n">
        <v>73</v>
      </c>
      <c r="G1087" s="86" t="s">
        <v>30</v>
      </c>
      <c r="H1087" s="87" t="s">
        <v>78</v>
      </c>
      <c r="I1087" s="389" t="n">
        <v>0.24</v>
      </c>
      <c r="J1087" s="88" t="n">
        <v>22</v>
      </c>
      <c r="K1087" s="89" t="s">
        <v>26</v>
      </c>
      <c r="L1087" s="86" t="n">
        <v>9</v>
      </c>
      <c r="M1087" s="122" t="n">
        <v>43719</v>
      </c>
      <c r="N1087" s="86" t="s">
        <v>32</v>
      </c>
      <c r="O1087" s="91" t="n">
        <v>43647</v>
      </c>
      <c r="P1087" s="92" t="n">
        <v>749</v>
      </c>
      <c r="Q1087" s="92" t="n">
        <v>600</v>
      </c>
      <c r="R1087" s="93" t="str">
        <f aca="false">HYPERLINK("https://amzn.to/31HFLMg","link*")</f>
        <v>link*</v>
      </c>
      <c r="S1087" s="93" t="str">
        <f aca="false">HYPERLINK("https://www.bhphotovideo.com/c/product/1492866-REG/sony_sel35f18f_35mm_f_1_8_fe_lens.html/BI/19619/KBID/12129/DFF/d10-v21-t1-x975763/SID/EZ","link*")</f>
        <v>link*</v>
      </c>
      <c r="T1087" s="93" t="str">
        <f aca="false">HYPERLINK("https://amzn.to/2PiATLC","link*")</f>
        <v>link*</v>
      </c>
      <c r="U1087" s="93"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088" customFormat="false" ht="15.75" hidden="true" customHeight="false" outlineLevel="0" collapsed="false">
      <c r="A1088" s="99" t="str">
        <f aca="false">HYPERLINK("https://phillipreeve.net/blog/review-tamron-17-28mm-f-2-8-di-iii-rxd/","Tamron 17-28mm f/2.8 Di III RXD")</f>
        <v>Tamron 17-28mm f/2.8 Di III RXD</v>
      </c>
      <c r="B1088" s="100" t="n">
        <v>420</v>
      </c>
      <c r="C1088" s="101" t="n">
        <v>17</v>
      </c>
      <c r="D1088" s="102" t="n">
        <v>2.8</v>
      </c>
      <c r="E1088" s="115" t="n">
        <v>73</v>
      </c>
      <c r="F1088" s="116" t="n">
        <v>99</v>
      </c>
      <c r="G1088" s="105" t="s">
        <v>30</v>
      </c>
      <c r="H1088" s="106" t="s">
        <v>54</v>
      </c>
      <c r="I1088" s="107" t="n">
        <v>0.19</v>
      </c>
      <c r="J1088" s="108" t="n">
        <v>19</v>
      </c>
      <c r="K1088" s="105" t="s">
        <v>26</v>
      </c>
      <c r="L1088" s="107" t="n">
        <v>9</v>
      </c>
      <c r="M1088" s="109" t="s">
        <v>55</v>
      </c>
      <c r="N1088" s="107" t="s">
        <v>56</v>
      </c>
      <c r="O1088" s="110" t="n">
        <v>43647</v>
      </c>
      <c r="P1088" s="117" t="n">
        <v>899</v>
      </c>
      <c r="Q1088" s="111" t="n">
        <v>740</v>
      </c>
      <c r="R1088" s="112" t="str">
        <f aca="false">HYPERLINK("https://amzn.to/2Hv3AyB","link*")</f>
        <v>link*</v>
      </c>
      <c r="S1088" s="112" t="str">
        <f aca="false">HYPERLINK("https://www.bhphotovideo.com/c/product/1461529-REG/tamron_a046_17_28mm_f_2_8_di_iii.html/BI/19619/KBID/12129/DFF/d10-v21-t1-x946694/SID/EZ","link*")</f>
        <v>link*</v>
      </c>
      <c r="T1088" s="112" t="str">
        <f aca="false">HYPERLINK("https://amzn.to/2YkrkQB","link*")</f>
        <v>link*</v>
      </c>
      <c r="U1088" s="112"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V1088" s="38"/>
    </row>
    <row r="1089" customFormat="false" ht="15.75" hidden="true" customHeight="false" outlineLevel="0" collapsed="false">
      <c r="A1089" s="128" t="str">
        <f aca="false">HYPERLINK("http://www.photozone.de/sonyalphaff/865-zeiss35f28ff","Sony ZA 2.8/35")</f>
        <v>Sony ZA 2.8/35</v>
      </c>
      <c r="B1089" s="81" t="n">
        <v>120</v>
      </c>
      <c r="C1089" s="82" t="n">
        <v>35</v>
      </c>
      <c r="D1089" s="83" t="n">
        <v>2.8</v>
      </c>
      <c r="E1089" s="133" t="n">
        <v>62</v>
      </c>
      <c r="F1089" s="139" t="n">
        <v>37</v>
      </c>
      <c r="G1089" s="86" t="s">
        <v>30</v>
      </c>
      <c r="H1089" s="87" t="s">
        <v>80</v>
      </c>
      <c r="I1089" s="86" t="n">
        <v>0.12</v>
      </c>
      <c r="J1089" s="88" t="n">
        <v>35</v>
      </c>
      <c r="K1089" s="89" t="s">
        <v>26</v>
      </c>
      <c r="L1089" s="86" t="n">
        <v>9</v>
      </c>
      <c r="M1089" s="122" t="n">
        <v>43592</v>
      </c>
      <c r="N1089" s="86" t="s">
        <v>32</v>
      </c>
      <c r="O1089" s="91" t="n">
        <v>41487</v>
      </c>
      <c r="P1089" s="92" t="n">
        <v>798</v>
      </c>
      <c r="Q1089" s="92" t="n">
        <v>410</v>
      </c>
      <c r="R1089" s="93" t="str">
        <f aca="false">HYPERLINK("https://amzn.to/2yvhL24","link*")</f>
        <v>link*</v>
      </c>
      <c r="S1089" s="93" t="str">
        <f aca="false">HYPERLINK("https://www.bhphotovideo.com/c/product/1008123-REG/sony_sel35f28z_sonnar_t_fe_35mm.html/BI/19619/KBID/12129/DFF/d10-v21-t1-x466840/SID/EZ","link*")</f>
        <v>link*</v>
      </c>
      <c r="T1089" s="94" t="s">
        <v>33</v>
      </c>
      <c r="U1089" s="93"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090" customFormat="false" ht="15.75" hidden="true" customHeight="false" outlineLevel="0" collapsed="false">
      <c r="A1090" s="391" t="s">
        <v>272</v>
      </c>
      <c r="B1090" s="206" t="n">
        <v>210</v>
      </c>
      <c r="C1090" s="179" t="n">
        <v>35</v>
      </c>
      <c r="D1090" s="180" t="n">
        <v>2.8</v>
      </c>
      <c r="E1090" s="207" t="n">
        <v>73</v>
      </c>
      <c r="F1090" s="208" t="n">
        <v>64</v>
      </c>
      <c r="G1090" s="183" t="s">
        <v>30</v>
      </c>
      <c r="H1090" s="184" t="s">
        <v>54</v>
      </c>
      <c r="I1090" s="209" t="n">
        <v>0.5</v>
      </c>
      <c r="J1090" s="210" t="n">
        <v>15</v>
      </c>
      <c r="K1090" s="183" t="s">
        <v>26</v>
      </c>
      <c r="L1090" s="184" t="n">
        <v>7</v>
      </c>
      <c r="M1090" s="187" t="s">
        <v>61</v>
      </c>
      <c r="N1090" s="188" t="s">
        <v>56</v>
      </c>
      <c r="O1090" s="91" t="n">
        <v>43796</v>
      </c>
      <c r="P1090" s="211" t="n">
        <v>349</v>
      </c>
      <c r="Q1090" s="212" t="s">
        <v>36</v>
      </c>
      <c r="R1090" s="93" t="str">
        <f aca="false">HYPERLINK("https://amzn.to/2LUF8sR","link*")</f>
        <v>link*</v>
      </c>
      <c r="S1090" s="93" t="str">
        <f aca="false">HYPERLINK("https://www.bhphotovideo.com/c/product/1512043-REG/tamron_f035_35mm_f_2_8_di_iii.html/BI/19619/KBID/12129/DFF/d10-v21-t1-x994972/SID/EZ","link*")</f>
        <v>link*</v>
      </c>
      <c r="T1090" s="93" t="str">
        <f aca="false">HYPERLINK("https://amzn.to/36BcBQO","link*")</f>
        <v>link*</v>
      </c>
      <c r="U1090" s="93"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091" customFormat="false" ht="15.75" hidden="true" customHeight="false" outlineLevel="0" collapsed="false">
      <c r="A1091" s="95" t="s">
        <v>125</v>
      </c>
      <c r="B1091" s="25" t="n">
        <v>86</v>
      </c>
      <c r="C1091" s="26" t="n">
        <v>35</v>
      </c>
      <c r="D1091" s="27" t="n">
        <v>2.8</v>
      </c>
      <c r="E1091" s="130" t="n">
        <v>62</v>
      </c>
      <c r="F1091" s="175" t="n">
        <v>33</v>
      </c>
      <c r="G1091" s="32" t="s">
        <v>30</v>
      </c>
      <c r="H1091" s="31" t="s">
        <v>80</v>
      </c>
      <c r="I1091" s="32" t="n">
        <v>0.12</v>
      </c>
      <c r="J1091" s="33" t="n">
        <v>35</v>
      </c>
      <c r="K1091" s="30" t="s">
        <v>26</v>
      </c>
      <c r="L1091" s="32" t="n">
        <v>9</v>
      </c>
      <c r="M1091" s="98" t="n">
        <v>43623</v>
      </c>
      <c r="N1091" s="32" t="s">
        <v>47</v>
      </c>
      <c r="O1091" s="35" t="n">
        <v>42917</v>
      </c>
      <c r="P1091" s="213" t="n">
        <v>399</v>
      </c>
      <c r="Q1091" s="213" t="n">
        <v>210</v>
      </c>
      <c r="R1091" s="37" t="str">
        <f aca="false">HYPERLINK("https://amzn.to/2MGKrxp","link*")</f>
        <v>link*</v>
      </c>
      <c r="S1091" s="37" t="str">
        <f aca="false">HYPERLINK("https://www.bhphotovideo.com/c/product/1348365-REG/samyang_syio35af_e_35mm_f2_8_compact_wide.html/BI/19619/KBID/12129/DFF/d10-v21-t1-x832776/SID/EZ","link*")</f>
        <v>link*</v>
      </c>
      <c r="T1091" s="37" t="str">
        <f aca="false">HYPERLINK("https://amzn.to/2rM4SRk","link*")</f>
        <v>link*</v>
      </c>
      <c r="U1091" s="37"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091" s="38"/>
    </row>
    <row r="1092" customFormat="false" ht="15.75" hidden="true" customHeight="false" outlineLevel="0" collapsed="false">
      <c r="A1092" s="113" t="str">
        <f aca="false">HYPERLINK("https://phillipreeve.net/blog/review-zeiss-batis-18mm-2-8/","Zeiss Batis 2.8/18")</f>
        <v>Zeiss Batis 2.8/18</v>
      </c>
      <c r="B1092" s="40" t="n">
        <v>330</v>
      </c>
      <c r="C1092" s="41" t="n">
        <v>18</v>
      </c>
      <c r="D1092" s="42" t="n">
        <v>2.8</v>
      </c>
      <c r="E1092" s="43" t="n">
        <v>100</v>
      </c>
      <c r="F1092" s="44" t="n">
        <v>80</v>
      </c>
      <c r="G1092" s="45" t="s">
        <v>30</v>
      </c>
      <c r="H1092" s="46" t="s">
        <v>57</v>
      </c>
      <c r="I1092" s="47" t="n">
        <v>0.1</v>
      </c>
      <c r="J1092" s="48" t="n">
        <v>25</v>
      </c>
      <c r="K1092" s="45" t="s">
        <v>26</v>
      </c>
      <c r="L1092" s="47" t="n">
        <v>9</v>
      </c>
      <c r="M1092" s="49" t="s">
        <v>58</v>
      </c>
      <c r="N1092" s="47" t="s">
        <v>59</v>
      </c>
      <c r="O1092" s="50" t="n">
        <v>42491</v>
      </c>
      <c r="P1092" s="51" t="n">
        <v>1499</v>
      </c>
      <c r="Q1092" s="51" t="n">
        <v>750</v>
      </c>
      <c r="R1092" s="52" t="str">
        <f aca="false">HYPERLINK("https://amzn.to/2SRFBhL","link*")</f>
        <v>link*</v>
      </c>
      <c r="S1092" s="52" t="str">
        <f aca="false">HYPERLINK("https://www.bhphotovideo.com/c/product/1243591-REG/zeiss_2136_691_batis_18mm_f_2_8_lens.html/BI/19619/KBID/12129/DFF/d10-v21-t1-x727488/SID/EZ","link*")</f>
        <v>link*</v>
      </c>
      <c r="T1092" s="52" t="str">
        <f aca="false">HYPERLINK("https://amzn.to/334PqNT","link*")</f>
        <v>link*</v>
      </c>
      <c r="U1092" s="52"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093" customFormat="false" ht="15.75" hidden="true" customHeight="false" outlineLevel="0" collapsed="false">
      <c r="A1093" s="128" t="str">
        <f aca="false">HYPERLINK("https://phillipreeve.net/blog/review-sigma-40mm-1-4-art/","Sigma Art 1.4/40")</f>
        <v>Sigma Art 1.4/40</v>
      </c>
      <c r="B1093" s="81" t="n">
        <v>1265</v>
      </c>
      <c r="C1093" s="82" t="n">
        <v>40</v>
      </c>
      <c r="D1093" s="83" t="n">
        <v>1.4</v>
      </c>
      <c r="E1093" s="133" t="n">
        <v>88</v>
      </c>
      <c r="F1093" s="134" t="n">
        <v>157</v>
      </c>
      <c r="G1093" s="86" t="s">
        <v>30</v>
      </c>
      <c r="H1093" s="215" t="s">
        <v>52</v>
      </c>
      <c r="I1093" s="86" t="n">
        <v>0.15</v>
      </c>
      <c r="J1093" s="88" t="n">
        <v>40</v>
      </c>
      <c r="K1093" s="89" t="s">
        <v>26</v>
      </c>
      <c r="L1093" s="86" t="n">
        <v>9</v>
      </c>
      <c r="M1093" s="122" t="n">
        <v>43815</v>
      </c>
      <c r="N1093" s="86" t="s">
        <v>43</v>
      </c>
      <c r="O1093" s="91" t="n">
        <v>43435</v>
      </c>
      <c r="P1093" s="92" t="n">
        <v>1399</v>
      </c>
      <c r="Q1093" s="92" t="s">
        <v>36</v>
      </c>
      <c r="R1093" s="93" t="str">
        <f aca="false">HYPERLINK("https://amzn.to/2SYXFXq","link*")</f>
        <v>link*</v>
      </c>
      <c r="S1093" s="93" t="str">
        <f aca="false">HYPERLINK("https://www.bhphotovideo.com/c/product/1436292-REG/sigma_40mm_f_1_4_dg_hsm.html/BI/19619/KBID/12129/DFF/d10-v21-t1-x925196/SID/EZ","link*")</f>
        <v>link*</v>
      </c>
      <c r="T1093" s="94" t="s">
        <v>33</v>
      </c>
      <c r="U1093" s="93"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V1093" s="69" t="s">
        <v>260</v>
      </c>
    </row>
    <row r="1094" customFormat="false" ht="15.75" hidden="true" customHeight="false" outlineLevel="0" collapsed="false">
      <c r="A1094" s="24" t="str">
        <f aca="false">HYPERLINK("https://phillipreeve.net/blog/review-zeiss-batis-2-40-cf/","Zeiss Batis 2/40 CF T*")</f>
        <v>Zeiss Batis 2/40 CF T*</v>
      </c>
      <c r="B1094" s="25" t="n">
        <v>361</v>
      </c>
      <c r="C1094" s="26" t="n">
        <v>40</v>
      </c>
      <c r="D1094" s="27" t="n">
        <v>2</v>
      </c>
      <c r="E1094" s="130" t="n">
        <v>91</v>
      </c>
      <c r="F1094" s="131" t="n">
        <v>93</v>
      </c>
      <c r="G1094" s="32" t="s">
        <v>30</v>
      </c>
      <c r="H1094" s="31" t="s">
        <v>54</v>
      </c>
      <c r="I1094" s="231" t="n">
        <v>0.3</v>
      </c>
      <c r="J1094" s="33" t="n">
        <v>24</v>
      </c>
      <c r="K1094" s="30" t="s">
        <v>26</v>
      </c>
      <c r="L1094" s="32" t="n">
        <v>9</v>
      </c>
      <c r="M1094" s="98" t="n">
        <v>43686</v>
      </c>
      <c r="N1094" s="32" t="s">
        <v>59</v>
      </c>
      <c r="O1094" s="35" t="n">
        <v>43435</v>
      </c>
      <c r="P1094" s="36" t="n">
        <v>1299</v>
      </c>
      <c r="Q1094" s="36" t="n">
        <v>950</v>
      </c>
      <c r="R1094" s="37" t="str">
        <f aca="false">HYPERLINK("https://amzn.to/2LUN0MF","link*")</f>
        <v>link*</v>
      </c>
      <c r="S1094" s="37" t="str">
        <f aca="false">HYPERLINK("https://www.bhphotovideo.com/c/product/1436738-REG/zeiss_000000_2239_137_batis_40mm_f_2_cf.html/BI/19619/KBID/12129/DFF/d10-v21-t1-x915694/SID/EZ","link*")</f>
        <v>link*</v>
      </c>
      <c r="T1094" s="71" t="s">
        <v>33</v>
      </c>
      <c r="U1094" s="37"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094" s="38" t="s">
        <v>273</v>
      </c>
    </row>
    <row r="1095" customFormat="false" ht="15.75" hidden="true" customHeight="false" outlineLevel="0" collapsed="false">
      <c r="A1095" s="39" t="s">
        <v>129</v>
      </c>
      <c r="B1095" s="40" t="n">
        <v>162</v>
      </c>
      <c r="C1095" s="41" t="n">
        <v>45</v>
      </c>
      <c r="D1095" s="42" t="n">
        <v>1.8</v>
      </c>
      <c r="E1095" s="133" t="n">
        <v>62</v>
      </c>
      <c r="F1095" s="134" t="n">
        <v>56</v>
      </c>
      <c r="G1095" s="47" t="s">
        <v>30</v>
      </c>
      <c r="H1095" s="46" t="s">
        <v>80</v>
      </c>
      <c r="I1095" s="47" t="n">
        <v>0.12</v>
      </c>
      <c r="J1095" s="48" t="n">
        <v>45</v>
      </c>
      <c r="K1095" s="45" t="s">
        <v>26</v>
      </c>
      <c r="L1095" s="47" t="n">
        <v>9</v>
      </c>
      <c r="M1095" s="79" t="n">
        <v>43623</v>
      </c>
      <c r="N1095" s="47" t="s">
        <v>47</v>
      </c>
      <c r="O1095" s="50" t="n">
        <v>43647</v>
      </c>
      <c r="P1095" s="232" t="n">
        <v>399</v>
      </c>
      <c r="Q1095" s="232" t="n">
        <v>300</v>
      </c>
      <c r="R1095" s="52" t="str">
        <f aca="false">HYPERLINK("https://amzn.to/2YC6MST","link*")</f>
        <v>link*</v>
      </c>
      <c r="S1095" s="52" t="str">
        <f aca="false">HYPERLINK("https://www.bhphotovideo.com/c/product/1478738-REG/samyang_af_45mm_f_1_8_fe.html/BI/19619/KBID/12129/DFF/d10-v21-t1-x964329/SID/EZ","link*")</f>
        <v>link*</v>
      </c>
      <c r="T1095" s="140" t="s">
        <v>33</v>
      </c>
      <c r="U1095" s="52"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096" customFormat="false" ht="15.75" hidden="true" customHeight="false" outlineLevel="0" collapsed="false">
      <c r="A1096" s="95" t="s">
        <v>130</v>
      </c>
      <c r="B1096" s="25" t="n">
        <v>215</v>
      </c>
      <c r="C1096" s="26" t="n">
        <v>45</v>
      </c>
      <c r="D1096" s="27" t="n">
        <v>2.8</v>
      </c>
      <c r="E1096" s="130" t="n">
        <v>64</v>
      </c>
      <c r="F1096" s="175" t="n">
        <v>46</v>
      </c>
      <c r="G1096" s="32" t="s">
        <v>30</v>
      </c>
      <c r="H1096" s="31" t="s">
        <v>78</v>
      </c>
      <c r="I1096" s="233" t="n">
        <v>0.25</v>
      </c>
      <c r="J1096" s="33" t="n">
        <v>24</v>
      </c>
      <c r="K1096" s="30" t="s">
        <v>26</v>
      </c>
      <c r="L1096" s="32" t="n">
        <v>7</v>
      </c>
      <c r="M1096" s="98" t="n">
        <v>43654</v>
      </c>
      <c r="N1096" s="32" t="s">
        <v>43</v>
      </c>
      <c r="O1096" s="35" t="n">
        <v>43647</v>
      </c>
      <c r="P1096" s="36" t="n">
        <v>549</v>
      </c>
      <c r="Q1096" s="36" t="s">
        <v>36</v>
      </c>
      <c r="R1096" s="37" t="str">
        <f aca="false">HYPERLINK("https://amzn.to/2SYEvAX","link*")</f>
        <v>link*</v>
      </c>
      <c r="S1096" s="37" t="str">
        <f aca="false">HYPERLINK("https://www.bhphotovideo.com/c/product/1492966-REG/sigma_360965_45mm_f_2_8_dg_dn.html/BI/19619/KBID/12129/DFF/d10-v21-t1-x976020/SID/EZ","link*")</f>
        <v>link*</v>
      </c>
      <c r="T1096" s="71" t="s">
        <v>33</v>
      </c>
      <c r="U1096" s="37"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096" s="38" t="s">
        <v>265</v>
      </c>
    </row>
    <row r="1097" customFormat="false" ht="15.75" hidden="true" customHeight="false" outlineLevel="0" collapsed="false">
      <c r="A1097" s="95" t="s">
        <v>60</v>
      </c>
      <c r="B1097" s="25" t="n">
        <v>145</v>
      </c>
      <c r="C1097" s="26" t="n">
        <v>18</v>
      </c>
      <c r="D1097" s="27" t="n">
        <v>2.8</v>
      </c>
      <c r="E1097" s="96" t="n">
        <v>63.5</v>
      </c>
      <c r="F1097" s="97" t="n">
        <v>60.5</v>
      </c>
      <c r="G1097" s="30" t="s">
        <v>30</v>
      </c>
      <c r="H1097" s="31" t="s">
        <v>48</v>
      </c>
      <c r="I1097" s="32" t="n">
        <v>0.09</v>
      </c>
      <c r="J1097" s="33" t="n">
        <v>25</v>
      </c>
      <c r="K1097" s="30" t="s">
        <v>26</v>
      </c>
      <c r="L1097" s="32" t="n">
        <v>7</v>
      </c>
      <c r="M1097" s="34" t="s">
        <v>61</v>
      </c>
      <c r="N1097" s="32" t="s">
        <v>47</v>
      </c>
      <c r="O1097" s="35" t="n">
        <v>43723</v>
      </c>
      <c r="P1097" s="36" t="n">
        <v>399</v>
      </c>
      <c r="Q1097" s="36" t="n">
        <v>240</v>
      </c>
      <c r="R1097" s="118" t="s">
        <v>33</v>
      </c>
      <c r="S1097" s="37" t="str">
        <f aca="false">HYPERLINK("https://www.bhphotovideo.com/c/product/1503295-REG/samyang_syio18af_e_af_18mm_f_2_8_fe.html/BI/19619/KBID/12129/DFF/d10-v21-t1-x985623/SID/EZ","link*")</f>
        <v>link*</v>
      </c>
      <c r="T1097" s="71"/>
      <c r="U1097" s="52" t="str">
        <f aca="false">HYPERLINK("http://rover.ebay.com/rover/1/711-53200-19255-0/1?icep_ff3=9&amp;pub=5575076376&amp;toolid=10001&amp;campid=5338573609&amp;customid=&amp;icep_uq=samyang+18+2.8+sony&amp;icep_sellerId=&amp;icep_ex_kw=&amp;icep_sortBy=12&amp;icep_catId=3323&amp;icep_minPrice=&amp;icep_maxPrice=&amp;ipn=psmain&amp;icep_vector"&amp;"id=229466&amp;kwid=902099&amp;mtid=824&amp;kw=lg","link*")</f>
        <v>link*</v>
      </c>
      <c r="V1097" s="38"/>
    </row>
    <row r="1098" customFormat="false" ht="15.75" hidden="true" customHeight="false" outlineLevel="0" collapsed="false">
      <c r="A1098" s="80" t="s">
        <v>132</v>
      </c>
      <c r="B1098" s="81" t="n">
        <v>778</v>
      </c>
      <c r="C1098" s="82" t="n">
        <v>50</v>
      </c>
      <c r="D1098" s="83" t="n">
        <v>1.4</v>
      </c>
      <c r="E1098" s="133" t="n">
        <v>84</v>
      </c>
      <c r="F1098" s="139" t="n">
        <v>108</v>
      </c>
      <c r="G1098" s="86" t="s">
        <v>30</v>
      </c>
      <c r="H1098" s="87" t="s">
        <v>49</v>
      </c>
      <c r="I1098" s="86" t="n">
        <v>0.15</v>
      </c>
      <c r="J1098" s="88" t="n">
        <v>45</v>
      </c>
      <c r="K1098" s="89" t="s">
        <v>26</v>
      </c>
      <c r="L1098" s="86" t="n">
        <v>11</v>
      </c>
      <c r="M1098" s="122" t="n">
        <v>43720</v>
      </c>
      <c r="N1098" s="86" t="s">
        <v>32</v>
      </c>
      <c r="O1098" s="91" t="n">
        <v>42583</v>
      </c>
      <c r="P1098" s="92" t="n">
        <v>1499</v>
      </c>
      <c r="Q1098" s="92" t="n">
        <v>1000</v>
      </c>
      <c r="R1098" s="93" t="str">
        <f aca="false">HYPERLINK("https://amzn.to/2K88EL7","link*")</f>
        <v>link*</v>
      </c>
      <c r="S1098" s="93" t="str">
        <f aca="false">HYPERLINK("https://www.bhphotovideo.com/c/product/1264965-REG/sony_sel50f14z_planar_t_fe_50mm.html/BI/19619/KBID/12129/DFF/d10-v21-t1-x746806/SID/EZ","link*")</f>
        <v>link*</v>
      </c>
      <c r="T1098" s="94" t="s">
        <v>33</v>
      </c>
      <c r="U1098" s="93"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099" customFormat="false" ht="15.75" hidden="true" customHeight="false" outlineLevel="0" collapsed="false">
      <c r="A1099" s="80" t="s">
        <v>133</v>
      </c>
      <c r="B1099" s="81" t="n">
        <v>910</v>
      </c>
      <c r="C1099" s="82" t="n">
        <v>50</v>
      </c>
      <c r="D1099" s="83" t="n">
        <v>1.4</v>
      </c>
      <c r="E1099" s="133" t="n">
        <v>85</v>
      </c>
      <c r="F1099" s="139" t="n">
        <v>125.9</v>
      </c>
      <c r="G1099" s="86" t="s">
        <v>30</v>
      </c>
      <c r="H1099" s="87" t="s">
        <v>57</v>
      </c>
      <c r="I1099" s="86" t="n">
        <v>0.18</v>
      </c>
      <c r="J1099" s="88" t="n">
        <v>40</v>
      </c>
      <c r="K1099" s="89" t="s">
        <v>26</v>
      </c>
      <c r="L1099" s="86" t="n">
        <v>9</v>
      </c>
      <c r="M1099" s="122" t="n">
        <v>43690</v>
      </c>
      <c r="N1099" s="86" t="s">
        <v>43</v>
      </c>
      <c r="O1099" s="91" t="n">
        <v>43221</v>
      </c>
      <c r="P1099" s="92" t="n">
        <v>949</v>
      </c>
      <c r="Q1099" s="92" t="n">
        <v>650</v>
      </c>
      <c r="R1099" s="93" t="str">
        <f aca="false">HYPERLINK("https://amzn.to/2K4JmyT","link*")</f>
        <v>link*</v>
      </c>
      <c r="S1099" s="93" t="str">
        <f aca="false">HYPERLINK("https://www.bhphotovideo.com/c/product/1393493-REG/sigma_50mm_f_1_4_dg_hsm.html/BI/19619/KBID/12129/kw/SI5014SO/DFF/d10-v2-t1-xSI5014SO","link*")</f>
        <v>link*</v>
      </c>
      <c r="T1099" s="93" t="str">
        <f aca="false">HYPERLINK("https://amzn.to/2Wpdoz5","link*")</f>
        <v>link*</v>
      </c>
      <c r="U1099" s="93"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V1099" s="69" t="s">
        <v>260</v>
      </c>
    </row>
    <row r="1100" customFormat="false" ht="15.75" hidden="true" customHeight="false" outlineLevel="0" collapsed="false">
      <c r="A1100" s="80" t="s">
        <v>134</v>
      </c>
      <c r="B1100" s="81" t="n">
        <v>585</v>
      </c>
      <c r="C1100" s="82" t="n">
        <v>50</v>
      </c>
      <c r="D1100" s="83" t="n">
        <v>1.4</v>
      </c>
      <c r="E1100" s="133" t="n">
        <v>74</v>
      </c>
      <c r="F1100" s="139" t="n">
        <v>98</v>
      </c>
      <c r="G1100" s="86" t="s">
        <v>30</v>
      </c>
      <c r="H1100" s="87" t="s">
        <v>54</v>
      </c>
      <c r="I1100" s="86" t="n">
        <v>0.15</v>
      </c>
      <c r="J1100" s="88" t="n">
        <v>45</v>
      </c>
      <c r="K1100" s="89" t="s">
        <v>26</v>
      </c>
      <c r="L1100" s="86" t="n">
        <v>9</v>
      </c>
      <c r="M1100" s="122" t="n">
        <v>43686</v>
      </c>
      <c r="N1100" s="86" t="s">
        <v>47</v>
      </c>
      <c r="O1100" s="91" t="n">
        <v>42583</v>
      </c>
      <c r="P1100" s="92" t="n">
        <v>699</v>
      </c>
      <c r="Q1100" s="92" t="n">
        <v>365</v>
      </c>
      <c r="R1100" s="93" t="str">
        <f aca="false">HYPERLINK("https://amzn.to/2SY1Pyr","link*")</f>
        <v>link*</v>
      </c>
      <c r="S1100" s="93" t="str">
        <f aca="false">HYPERLINK("https://www.bhphotovideo.com/c/product/1352862-REG/samyang_syio50af_e_50mm_f_1_4_auto_focus.html/BI/19619/KBID/12129/DFF/d10-v21-t1-x837927/SID/EZ","link*")</f>
        <v>link*</v>
      </c>
      <c r="T1100" s="94" t="s">
        <v>33</v>
      </c>
      <c r="U1100" s="93"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01" customFormat="false" ht="15.75" hidden="true" customHeight="false" outlineLevel="0" collapsed="false">
      <c r="A1101" s="128" t="str">
        <f aca="false">HYPERLINK("https://phillipreeve.net/blog/review-sony-fe-1-850/","Sony 50mm F1.8")</f>
        <v>Sony 50mm F1.8</v>
      </c>
      <c r="B1101" s="81" t="n">
        <v>186</v>
      </c>
      <c r="C1101" s="82" t="n">
        <v>50</v>
      </c>
      <c r="D1101" s="83" t="n">
        <v>1.8</v>
      </c>
      <c r="E1101" s="133" t="n">
        <v>69</v>
      </c>
      <c r="F1101" s="139" t="n">
        <v>60</v>
      </c>
      <c r="G1101" s="86" t="s">
        <v>30</v>
      </c>
      <c r="H1101" s="87" t="s">
        <v>80</v>
      </c>
      <c r="I1101" s="86" t="n">
        <v>0.14</v>
      </c>
      <c r="J1101" s="88" t="n">
        <v>45</v>
      </c>
      <c r="K1101" s="89" t="s">
        <v>26</v>
      </c>
      <c r="L1101" s="86" t="n">
        <v>7</v>
      </c>
      <c r="M1101" s="122" t="n">
        <v>43591</v>
      </c>
      <c r="N1101" s="86" t="s">
        <v>32</v>
      </c>
      <c r="O1101" s="91" t="n">
        <v>42430</v>
      </c>
      <c r="P1101" s="145" t="n">
        <v>249</v>
      </c>
      <c r="Q1101" s="145" t="n">
        <v>165</v>
      </c>
      <c r="R1101" s="93" t="str">
        <f aca="false">HYPERLINK("http://amzn.to/2v2F5Se","link*")</f>
        <v>link*</v>
      </c>
      <c r="S1101" s="93" t="str">
        <f aca="false">HYPERLINK("https://www.bhphotovideo.com/c/product/1242613-REG/sony_sel50f18f_fe_50mm_f_1_8_lens.html/BI/19619/KBID/12129/kw/SO5018F/DFF/d10-v2-t1-xSO5018F","link*")</f>
        <v>link*</v>
      </c>
      <c r="T1101" s="93" t="str">
        <f aca="false">HYPERLINK("http://amzn.to/2wyHB25","link*")</f>
        <v>link*</v>
      </c>
      <c r="U1101" s="93"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02" customFormat="false" ht="15.75" hidden="true" customHeight="false" outlineLevel="0" collapsed="false">
      <c r="A1102" s="39" t="s">
        <v>62</v>
      </c>
      <c r="B1102" s="40" t="n">
        <v>1050</v>
      </c>
      <c r="C1102" s="41" t="n">
        <v>20</v>
      </c>
      <c r="D1102" s="119" t="n">
        <v>1.4</v>
      </c>
      <c r="E1102" s="43" t="n">
        <v>91</v>
      </c>
      <c r="F1102" s="44" t="n">
        <v>155.8</v>
      </c>
      <c r="G1102" s="47" t="s">
        <v>30</v>
      </c>
      <c r="H1102" s="46" t="s">
        <v>25</v>
      </c>
      <c r="I1102" s="47" t="n">
        <v>0.14</v>
      </c>
      <c r="J1102" s="48" t="n">
        <v>28</v>
      </c>
      <c r="K1102" s="45" t="s">
        <v>26</v>
      </c>
      <c r="L1102" s="47" t="n">
        <v>9</v>
      </c>
      <c r="M1102" s="79" t="n">
        <v>43784</v>
      </c>
      <c r="N1102" s="47" t="s">
        <v>43</v>
      </c>
      <c r="O1102" s="50" t="n">
        <v>43221</v>
      </c>
      <c r="P1102" s="51" t="n">
        <v>899</v>
      </c>
      <c r="Q1102" s="51" t="n">
        <v>550</v>
      </c>
      <c r="R1102" s="52" t="str">
        <f aca="false">HYPERLINK("https://amzn.to/2K4J7nh","link*")</f>
        <v>link*</v>
      </c>
      <c r="S1102" s="52" t="str">
        <f aca="false">HYPERLINK("https://www.bhphotovideo.com/c/product/1393490-REG/sigma_20mm_f_1_4_dg_hsm.html/BI/19619/KBID/12129/DFF/d10-v21-t1-x881155/SID/EZ","link*")</f>
        <v>link*</v>
      </c>
      <c r="T1102" s="52" t="str">
        <f aca="false">HYPERLINK("https://amzn.to/2Wy0d3F","link*")</f>
        <v>link*</v>
      </c>
      <c r="U1102" s="52"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row>
    <row r="1103" customFormat="false" ht="15.75" hidden="false" customHeight="false" outlineLevel="0" collapsed="false">
      <c r="A1103" s="80" t="s">
        <v>63</v>
      </c>
      <c r="B1103" s="81" t="n">
        <v>775</v>
      </c>
      <c r="C1103" s="82" t="n">
        <v>20</v>
      </c>
      <c r="D1103" s="120" t="n">
        <v>1.8</v>
      </c>
      <c r="E1103" s="84" t="n">
        <v>77</v>
      </c>
      <c r="F1103" s="121" t="n">
        <v>102</v>
      </c>
      <c r="G1103" s="86" t="s">
        <v>24</v>
      </c>
      <c r="H1103" s="87" t="s">
        <v>52</v>
      </c>
      <c r="I1103" s="86" t="n">
        <v>0.12</v>
      </c>
      <c r="J1103" s="88" t="n">
        <v>25</v>
      </c>
      <c r="K1103" s="89" t="s">
        <v>26</v>
      </c>
      <c r="L1103" s="86" t="n">
        <v>14</v>
      </c>
      <c r="M1103" s="122" t="n">
        <v>43720</v>
      </c>
      <c r="N1103" s="86" t="s">
        <v>64</v>
      </c>
      <c r="O1103" s="91" t="n">
        <v>43586</v>
      </c>
      <c r="P1103" s="92" t="n">
        <v>486</v>
      </c>
      <c r="Q1103" s="92" t="s">
        <v>36</v>
      </c>
      <c r="R1103" s="93" t="str">
        <f aca="false">HYPERLINK("https://amzn.to/2LRRbJ5","link*")</f>
        <v>link*</v>
      </c>
      <c r="S1103" s="93" t="str">
        <f aca="false">HYPERLINK("https://www.bhphotovideo.com/c/product/1469187-REG/viltrox_pfu_rbmh_20mm_f1_8_asph_e_mount_20mm_f_1_8_for_sony.html/BI/19619/KBID/12129/DFF/d10-v21-t1-x954299/SID/EZ","link*")</f>
        <v>link*</v>
      </c>
      <c r="T1103" s="93" t="str">
        <f aca="false">HYPERLINK("https://amzn.to/2GL8iYV","link*")</f>
        <v>link*</v>
      </c>
      <c r="U1103" s="93"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104" customFormat="false" ht="15.75" hidden="true" customHeight="false" outlineLevel="0" collapsed="false">
      <c r="A1104" s="24" t="str">
        <f aca="false">HYPERLINK("https://phillipreeve.net/blog/rolling-review-sony-fe-2-850-macro/","Sony 50mm F/2.8 Macro")</f>
        <v>Sony 50mm F/2.8 Macro</v>
      </c>
      <c r="B1104" s="25" t="n">
        <v>236</v>
      </c>
      <c r="C1104" s="26" t="n">
        <v>50</v>
      </c>
      <c r="D1104" s="27" t="n">
        <v>2.8</v>
      </c>
      <c r="E1104" s="130" t="n">
        <v>72</v>
      </c>
      <c r="F1104" s="175" t="n">
        <v>71</v>
      </c>
      <c r="G1104" s="32" t="s">
        <v>30</v>
      </c>
      <c r="H1104" s="31" t="s">
        <v>78</v>
      </c>
      <c r="I1104" s="236" t="n">
        <v>1</v>
      </c>
      <c r="J1104" s="33" t="n">
        <v>16</v>
      </c>
      <c r="K1104" s="30" t="s">
        <v>26</v>
      </c>
      <c r="L1104" s="32" t="n">
        <v>7</v>
      </c>
      <c r="M1104" s="98" t="n">
        <v>43654</v>
      </c>
      <c r="N1104" s="32" t="s">
        <v>32</v>
      </c>
      <c r="O1104" s="35" t="n">
        <v>42614</v>
      </c>
      <c r="P1104" s="237" t="n">
        <v>499</v>
      </c>
      <c r="Q1104" s="237" t="n">
        <v>350</v>
      </c>
      <c r="R1104" s="37" t="str">
        <f aca="false">HYPERLINK("http://amzn.to/2v2g0qz","link*")</f>
        <v>link*</v>
      </c>
      <c r="S1104" s="37" t="str">
        <f aca="false">HYPERLINK("https://www.bhphotovideo.com/c/product/1277527-REG/sony_sel50m28_fe_50mm_f_2_8_macro.html/BI/19619/KBID/12129/kw/SO5028FF/DFF/d10-v2-t1-xSO5028FF","link*")</f>
        <v>link*</v>
      </c>
      <c r="T1104" s="37" t="str">
        <f aca="false">HYPERLINK("http://amzn.to/2vbknRN","link*")</f>
        <v>link*</v>
      </c>
      <c r="U1104" s="37"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04" s="38"/>
    </row>
    <row r="1105" customFormat="false" ht="15.75" hidden="true" customHeight="false" outlineLevel="0" collapsed="false">
      <c r="A1105" s="99" t="str">
        <f aca="false">HYPERLINK("https://phillipreeve.net/blog/sony-fe-1-855-za-sonnar-t-review/","Sony ZA 55mm F1.8 Sonnar")</f>
        <v>Sony ZA 55mm F1.8 Sonnar</v>
      </c>
      <c r="B1105" s="100" t="n">
        <v>281</v>
      </c>
      <c r="C1105" s="101" t="n">
        <v>55</v>
      </c>
      <c r="D1105" s="102" t="n">
        <v>1.8</v>
      </c>
      <c r="E1105" s="130" t="n">
        <v>64</v>
      </c>
      <c r="F1105" s="175" t="n">
        <v>71</v>
      </c>
      <c r="G1105" s="107" t="s">
        <v>30</v>
      </c>
      <c r="H1105" s="106" t="s">
        <v>80</v>
      </c>
      <c r="I1105" s="107" t="n">
        <v>0.14</v>
      </c>
      <c r="J1105" s="108" t="n">
        <v>50</v>
      </c>
      <c r="K1105" s="105" t="s">
        <v>26</v>
      </c>
      <c r="L1105" s="107" t="n">
        <v>9</v>
      </c>
      <c r="M1105" s="238" t="n">
        <v>43592</v>
      </c>
      <c r="N1105" s="107" t="s">
        <v>32</v>
      </c>
      <c r="O1105" s="110" t="n">
        <v>41548</v>
      </c>
      <c r="P1105" s="111" t="n">
        <v>999</v>
      </c>
      <c r="Q1105" s="111" t="n">
        <v>625</v>
      </c>
      <c r="R1105" s="112" t="str">
        <f aca="false">HYPERLINK("https://amzn.to/2ywdgEk","link*")</f>
        <v>link*</v>
      </c>
      <c r="S1105" s="112" t="str">
        <f aca="false">HYPERLINK("https://www.bhphotovideo.com/c/product/1008124-REG/sony_sel55f18z_sonnar_t_fe_55mm.html/BI/19619/KBID/12129/DFF/d10-v21-t1-x466841/SID/EZ","link*")</f>
        <v>link*</v>
      </c>
      <c r="T1105" s="239" t="s">
        <v>33</v>
      </c>
      <c r="U1105" s="112"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05" s="38"/>
    </row>
    <row r="1106" customFormat="false" ht="15.75" hidden="true" customHeight="false" outlineLevel="0" collapsed="false">
      <c r="A1106" s="80" t="s">
        <v>65</v>
      </c>
      <c r="B1106" s="81" t="n">
        <v>373</v>
      </c>
      <c r="C1106" s="82" t="n">
        <v>20</v>
      </c>
      <c r="D1106" s="123" t="n">
        <v>1.8</v>
      </c>
      <c r="E1106" s="124" t="n">
        <v>73.5</v>
      </c>
      <c r="F1106" s="125" t="n">
        <v>84.7</v>
      </c>
      <c r="G1106" s="89" t="s">
        <v>30</v>
      </c>
      <c r="H1106" s="87" t="s">
        <v>54</v>
      </c>
      <c r="I1106" s="86" t="n">
        <v>0.2</v>
      </c>
      <c r="J1106" s="88" t="n">
        <v>18</v>
      </c>
      <c r="K1106" s="89" t="s">
        <v>26</v>
      </c>
      <c r="L1106" s="86" t="n">
        <v>9</v>
      </c>
      <c r="M1106" s="126" t="s">
        <v>66</v>
      </c>
      <c r="N1106" s="86" t="s">
        <v>32</v>
      </c>
      <c r="O1106" s="91" t="n">
        <v>43891</v>
      </c>
      <c r="P1106" s="127" t="n">
        <v>899</v>
      </c>
      <c r="Q1106" s="127" t="n">
        <v>800</v>
      </c>
      <c r="R1106" s="93" t="str">
        <f aca="false">HYPERLINK("https://amzn.to/2wBkbOW","link*")</f>
        <v>link*</v>
      </c>
      <c r="S1106" s="93" t="str">
        <f aca="false">HYPERLINK("https://www.bhphotovideo.com/c/product/1549627-REG/sony_sel20f18g_fe_20mm_f_1_8_g.html/BI/19619/KBID/12129/DFF/d10-v21-t1-x1029561/SID/EZ","link*")</f>
        <v>link*</v>
      </c>
      <c r="T1106" s="94"/>
      <c r="U1106" s="52" t="str">
        <f aca="false">HYPERLINK("http://rover.ebay.com/rover/1/711-53200-19255-0/1?icep_ff3=9&amp;pub=5575076376&amp;toolid=10001&amp;campid=5338573609&amp;customid=&amp;icep_uq=sony+g+20mm&amp;icep_sellerId=&amp;icep_ex_kw=&amp;icep_sortBy=12&amp;icep_catId=3323&amp;icep_minPrice=&amp;icep_maxPrice=&amp;ipn=psmain&amp;icep_vectorid=22946"&amp;"6&amp;kwid=902099&amp;mtid=824&amp;kw=lg","link*")</f>
        <v>link*</v>
      </c>
    </row>
    <row r="1107" customFormat="false" ht="15.75" hidden="true" customHeight="false" outlineLevel="0" collapsed="false">
      <c r="A1107" s="39" t="s">
        <v>137</v>
      </c>
      <c r="B1107" s="40" t="n">
        <v>562</v>
      </c>
      <c r="C1107" s="41" t="n">
        <v>70</v>
      </c>
      <c r="D1107" s="42" t="n">
        <v>2.8</v>
      </c>
      <c r="E1107" s="133" t="n">
        <v>71</v>
      </c>
      <c r="F1107" s="139" t="n">
        <v>132</v>
      </c>
      <c r="G1107" s="47" t="s">
        <v>30</v>
      </c>
      <c r="H1107" s="46" t="s">
        <v>80</v>
      </c>
      <c r="I1107" s="243" t="n">
        <v>1</v>
      </c>
      <c r="J1107" s="48" t="n">
        <v>26</v>
      </c>
      <c r="K1107" s="45" t="s">
        <v>26</v>
      </c>
      <c r="L1107" s="47" t="n">
        <v>9</v>
      </c>
      <c r="M1107" s="79" t="n">
        <v>43751</v>
      </c>
      <c r="N1107" s="47" t="s">
        <v>43</v>
      </c>
      <c r="O1107" s="50" t="n">
        <v>43221</v>
      </c>
      <c r="P1107" s="244" t="n">
        <v>569</v>
      </c>
      <c r="Q1107" s="244" t="n">
        <v>360</v>
      </c>
      <c r="R1107" s="52" t="str">
        <f aca="false">HYPERLINK("https://amzn.to/2YGO9te","link*")</f>
        <v>link*</v>
      </c>
      <c r="S1107" s="52" t="str">
        <f aca="false">HYPERLINK("https://www.bhphotovideo.com/c/product/1393483-REG/sigma_70mm_f_2_8_dg_macro.html/BI/19619/KBID/12129/DFF/d10-v21-t1-x895111/SID/EZ","link*")</f>
        <v>link*</v>
      </c>
      <c r="T1107" s="140" t="s">
        <v>33</v>
      </c>
      <c r="U1107" s="52"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V1107" s="69" t="s">
        <v>260</v>
      </c>
    </row>
    <row r="1108" customFormat="false" ht="15.75" hidden="true" customHeight="false" outlineLevel="0" collapsed="false">
      <c r="A1108" s="80" t="s">
        <v>266</v>
      </c>
      <c r="B1108" s="81" t="n">
        <v>1480</v>
      </c>
      <c r="C1108" s="82" t="n">
        <v>70</v>
      </c>
      <c r="D1108" s="83" t="n">
        <v>2.8</v>
      </c>
      <c r="E1108" s="133" t="n">
        <v>88</v>
      </c>
      <c r="F1108" s="139" t="n">
        <v>200</v>
      </c>
      <c r="G1108" s="86" t="s">
        <v>30</v>
      </c>
      <c r="H1108" s="87" t="s">
        <v>57</v>
      </c>
      <c r="I1108" s="389" t="n">
        <v>0.25</v>
      </c>
      <c r="J1108" s="88" t="n">
        <v>96</v>
      </c>
      <c r="K1108" s="174" t="s">
        <v>50</v>
      </c>
      <c r="L1108" s="86" t="n">
        <v>11</v>
      </c>
      <c r="M1108" s="90" t="s">
        <v>139</v>
      </c>
      <c r="N1108" s="86" t="s">
        <v>32</v>
      </c>
      <c r="O1108" s="91" t="n">
        <v>42401</v>
      </c>
      <c r="P1108" s="92" t="n">
        <v>2599</v>
      </c>
      <c r="Q1108" s="92" t="n">
        <v>2150</v>
      </c>
      <c r="R1108" s="93" t="str">
        <f aca="false">HYPERLINK("https://amzn.to/2KbaJGn","link*")</f>
        <v>link*</v>
      </c>
      <c r="S1108" s="93" t="str">
        <f aca="false">HYPERLINK("https://www.bhphotovideo.com/c/product/1222776-REG/sony_sel70200gm_fe_70_200mm_f_2_8_gm.html/BI/19619/KBID/12129/DFF/d10-v21-t1-x746807/SID/EZ","link*")</f>
        <v>link*</v>
      </c>
      <c r="T1108" s="94" t="s">
        <v>33</v>
      </c>
      <c r="U1108" s="93"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09" customFormat="false" ht="15.75" hidden="true" customHeight="false" outlineLevel="0" collapsed="false">
      <c r="A1109" s="80" t="s">
        <v>141</v>
      </c>
      <c r="B1109" s="81" t="n">
        <v>815</v>
      </c>
      <c r="C1109" s="82" t="n">
        <v>70</v>
      </c>
      <c r="D1109" s="83" t="n">
        <v>2.8</v>
      </c>
      <c r="E1109" s="246"/>
      <c r="F1109" s="139" t="n">
        <v>149</v>
      </c>
      <c r="G1109" s="86" t="s">
        <v>30</v>
      </c>
      <c r="H1109" s="87" t="s">
        <v>54</v>
      </c>
      <c r="I1109" s="389"/>
      <c r="J1109" s="88" t="n">
        <v>85</v>
      </c>
      <c r="K1109" s="86"/>
      <c r="L1109" s="86"/>
      <c r="M1109" s="90"/>
      <c r="N1109" s="86" t="s">
        <v>56</v>
      </c>
      <c r="O1109" s="91" t="n">
        <v>43952</v>
      </c>
      <c r="P1109" s="92"/>
      <c r="Q1109" s="92" t="s">
        <v>36</v>
      </c>
      <c r="R1109" s="94"/>
      <c r="S1109" s="94"/>
      <c r="T1109" s="94"/>
      <c r="U1109" s="94"/>
    </row>
    <row r="1110" customFormat="false" ht="15.75" hidden="true" customHeight="false" outlineLevel="0" collapsed="false">
      <c r="A1110" s="80" t="s">
        <v>143</v>
      </c>
      <c r="B1110" s="81" t="n">
        <v>854</v>
      </c>
      <c r="C1110" s="82" t="n">
        <v>70</v>
      </c>
      <c r="D1110" s="83" t="s">
        <v>144</v>
      </c>
      <c r="E1110" s="133" t="n">
        <v>84</v>
      </c>
      <c r="F1110" s="139" t="n">
        <v>144</v>
      </c>
      <c r="G1110" s="86" t="s">
        <v>30</v>
      </c>
      <c r="H1110" s="87" t="s">
        <v>49</v>
      </c>
      <c r="I1110" s="135" t="n">
        <v>0.31</v>
      </c>
      <c r="J1110" s="88" t="n">
        <v>90</v>
      </c>
      <c r="K1110" s="174" t="s">
        <v>50</v>
      </c>
      <c r="L1110" s="86" t="n">
        <v>9</v>
      </c>
      <c r="M1110" s="90" t="s">
        <v>53</v>
      </c>
      <c r="N1110" s="86" t="s">
        <v>32</v>
      </c>
      <c r="O1110" s="91" t="n">
        <v>42430</v>
      </c>
      <c r="P1110" s="92" t="n">
        <v>1198</v>
      </c>
      <c r="Q1110" s="92" t="n">
        <v>900</v>
      </c>
      <c r="R1110" s="93" t="str">
        <f aca="false">HYPERLINK("https://amzn.to/2SVN1Ao","link*")</f>
        <v>link*</v>
      </c>
      <c r="S1110" s="93" t="str">
        <f aca="false">HYPERLINK("https://www.bhphotovideo.com/c/product/1242614-REG/sony_sel70300g_fe_70_300mm_f_4_5_5_6_g.html/BI/19619/KBID/12129/DFF/d10-v21-t1-x722726/SID/EZ","link*")</f>
        <v>link*</v>
      </c>
      <c r="T1110" s="94" t="s">
        <v>33</v>
      </c>
      <c r="U1110" s="93"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11" customFormat="false" ht="15.75" hidden="true" customHeight="false" outlineLevel="0" collapsed="false">
      <c r="A1111" s="24" t="str">
        <f aca="false">HYPERLINK("https://phillipreeve.net/blog/review-sony-fe-470-200-g-oss/https://phillipreeve.net/blog/review-sony-fe-470-200-g-oss/","Sony G 4/70-200 OSS")</f>
        <v>Sony G 4/70-200 OSS</v>
      </c>
      <c r="B1111" s="25" t="n">
        <v>840</v>
      </c>
      <c r="C1111" s="26" t="n">
        <v>70</v>
      </c>
      <c r="D1111" s="27" t="n">
        <v>4</v>
      </c>
      <c r="E1111" s="130" t="n">
        <v>80</v>
      </c>
      <c r="F1111" s="175" t="n">
        <v>175</v>
      </c>
      <c r="G1111" s="32" t="s">
        <v>30</v>
      </c>
      <c r="H1111" s="31" t="s">
        <v>49</v>
      </c>
      <c r="I1111" s="32" t="n">
        <v>0.18</v>
      </c>
      <c r="J1111" s="33" t="n">
        <v>100</v>
      </c>
      <c r="K1111" s="176" t="s">
        <v>50</v>
      </c>
      <c r="L1111" s="32" t="n">
        <v>9</v>
      </c>
      <c r="M1111" s="255" t="s">
        <v>124</v>
      </c>
      <c r="N1111" s="32" t="s">
        <v>32</v>
      </c>
      <c r="O1111" s="35" t="n">
        <v>41548</v>
      </c>
      <c r="P1111" s="36" t="n">
        <v>1498</v>
      </c>
      <c r="Q1111" s="36" t="n">
        <v>980</v>
      </c>
      <c r="R1111" s="37" t="str">
        <f aca="false">HYPERLINK("http://amzn.to/2fbeX3x","link*")</f>
        <v>link*</v>
      </c>
      <c r="S1111" s="37" t="str">
        <f aca="false">HYPERLINK("https://www.bhphotovideo.com/c/product/1380865-REG/sony_fe_70_200mm_f_4_g.html/BI/19619/KBID/12129/kw/SO702004F/DFF/d10-v2-t1-xSO702004F","link*")</f>
        <v>link*</v>
      </c>
      <c r="T1111" s="37" t="str">
        <f aca="false">HYPERLINK("http://amzn.to/2vbFQKj","link*")</f>
        <v>link*</v>
      </c>
      <c r="U1111" s="37"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11" s="38"/>
    </row>
    <row r="1112" customFormat="false" ht="15.75" hidden="true" customHeight="false" outlineLevel="0" collapsed="false">
      <c r="A1112" s="113" t="str">
        <f aca="false">HYPERLINK("https://phillipreeve.net/blog/review-sony-fe-85mm-1-4-gm/","Sony GM 1.4/85")</f>
        <v>Sony GM 1.4/85</v>
      </c>
      <c r="B1112" s="40" t="n">
        <v>854</v>
      </c>
      <c r="C1112" s="41" t="n">
        <v>85</v>
      </c>
      <c r="D1112" s="42" t="n">
        <v>1.4</v>
      </c>
      <c r="E1112" s="133" t="n">
        <v>84</v>
      </c>
      <c r="F1112" s="139" t="n">
        <v>108</v>
      </c>
      <c r="G1112" s="47" t="s">
        <v>30</v>
      </c>
      <c r="H1112" s="46" t="s">
        <v>57</v>
      </c>
      <c r="I1112" s="47" t="n">
        <v>0.12</v>
      </c>
      <c r="J1112" s="48" t="n">
        <v>80</v>
      </c>
      <c r="K1112" s="45" t="s">
        <v>26</v>
      </c>
      <c r="L1112" s="47" t="n">
        <v>11</v>
      </c>
      <c r="M1112" s="79" t="n">
        <v>43688</v>
      </c>
      <c r="N1112" s="47" t="s">
        <v>32</v>
      </c>
      <c r="O1112" s="50" t="n">
        <v>42401</v>
      </c>
      <c r="P1112" s="51" t="n">
        <v>1799</v>
      </c>
      <c r="Q1112" s="51" t="n">
        <v>1150</v>
      </c>
      <c r="R1112" s="52" t="str">
        <f aca="false">HYPERLINK("https://amzn.to/2SZeKAh","link*")</f>
        <v>link*</v>
      </c>
      <c r="S1112" s="52" t="str">
        <f aca="false">HYPERLINK("https://www.bhphotovideo.com/c/product/1222775-REG/sony_sel85f14gm_fe_85mm_f_1_4_gm.html/BI/19619/KBID/12129/DFF/d10-v21-t1-x707644/SID/EZ","link*")</f>
        <v>link*</v>
      </c>
      <c r="T1112" s="140" t="s">
        <v>33</v>
      </c>
      <c r="U1112" s="52"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113" customFormat="false" ht="15.75" hidden="true" customHeight="false" outlineLevel="0" collapsed="false">
      <c r="A1113" s="80" t="s">
        <v>147</v>
      </c>
      <c r="B1113" s="81" t="n">
        <v>1245</v>
      </c>
      <c r="C1113" s="82" t="n">
        <v>85</v>
      </c>
      <c r="D1113" s="83" t="n">
        <v>1.4</v>
      </c>
      <c r="E1113" s="133" t="n">
        <v>95</v>
      </c>
      <c r="F1113" s="139" t="n">
        <v>152</v>
      </c>
      <c r="G1113" s="86" t="s">
        <v>30</v>
      </c>
      <c r="H1113" s="257" t="s">
        <v>148</v>
      </c>
      <c r="I1113" s="86" t="n">
        <v>0.12</v>
      </c>
      <c r="J1113" s="88" t="n">
        <v>85</v>
      </c>
      <c r="K1113" s="89" t="s">
        <v>26</v>
      </c>
      <c r="L1113" s="86" t="n">
        <v>9</v>
      </c>
      <c r="M1113" s="122" t="n">
        <v>43724</v>
      </c>
      <c r="N1113" s="86" t="s">
        <v>43</v>
      </c>
      <c r="O1113" s="91" t="n">
        <v>43221</v>
      </c>
      <c r="P1113" s="92" t="n">
        <v>1199</v>
      </c>
      <c r="Q1113" s="92" t="n">
        <v>750</v>
      </c>
      <c r="R1113" s="93" t="str">
        <f aca="false">HYPERLINK("https://amzn.to/2MBd68k","link*")</f>
        <v>link*</v>
      </c>
      <c r="S1113" s="93" t="str">
        <f aca="false">HYPERLINK("https://www.bhphotovideo.com/c/product/1393494-REG/sigma_85mm_f_1_4_dg_hsm.html/BI/19619/KBID/12129/kw/SI8514SO/DFF/d10-v2-t1-xSI8514SO","link*")</f>
        <v>link*</v>
      </c>
      <c r="T1113" s="93" t="str">
        <f aca="false">HYPERLINK("https://amzn.to/2Wto6JH","link*")</f>
        <v>link*</v>
      </c>
      <c r="U1113" s="93"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V1113" s="69" t="s">
        <v>260</v>
      </c>
    </row>
    <row r="1114" customFormat="false" ht="15.75" hidden="true" customHeight="false" outlineLevel="0" collapsed="false">
      <c r="A1114" s="80" t="s">
        <v>149</v>
      </c>
      <c r="B1114" s="81" t="n">
        <v>568</v>
      </c>
      <c r="C1114" s="82" t="n">
        <v>85</v>
      </c>
      <c r="D1114" s="83" t="n">
        <v>1.4</v>
      </c>
      <c r="E1114" s="133" t="n">
        <v>88</v>
      </c>
      <c r="F1114" s="139" t="n">
        <v>100</v>
      </c>
      <c r="G1114" s="86" t="s">
        <v>30</v>
      </c>
      <c r="H1114" s="87" t="s">
        <v>57</v>
      </c>
      <c r="I1114" s="86" t="n">
        <v>0.11</v>
      </c>
      <c r="J1114" s="88" t="n">
        <v>90</v>
      </c>
      <c r="K1114" s="89" t="s">
        <v>26</v>
      </c>
      <c r="L1114" s="86" t="n">
        <v>9</v>
      </c>
      <c r="M1114" s="122" t="n">
        <v>43688</v>
      </c>
      <c r="N1114" s="86" t="s">
        <v>47</v>
      </c>
      <c r="O1114" s="91" t="n">
        <v>43586</v>
      </c>
      <c r="P1114" s="145" t="n">
        <v>599</v>
      </c>
      <c r="Q1114" s="92" t="s">
        <v>36</v>
      </c>
      <c r="R1114" s="93" t="str">
        <f aca="false">HYPERLINK("https://amzn.to/2T0yJ1A","link*")</f>
        <v>link*</v>
      </c>
      <c r="S1114" s="93" t="str">
        <f aca="false">HYPERLINK("https://www.bhphotovideo.com/c/product/1470654-REG/samyang_syio85af_e_af_85mm_f_1_4_lens.html/BI/19619/KBID/12129/DFF/d10-v21-t1-x955078/SID/EZ","link*")</f>
        <v>link*</v>
      </c>
      <c r="T1114" s="94" t="s">
        <v>33</v>
      </c>
      <c r="U1114" s="93"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115" customFormat="false" ht="15.75" hidden="true" customHeight="false" outlineLevel="0" collapsed="false">
      <c r="A1115" s="128" t="str">
        <f aca="false">HYPERLINK("https://phillipreeve.net/blog/review-sony-fe-85-mm-1-8/","Sony FE 85mm f/1.8")</f>
        <v>Sony FE 85mm f/1.8</v>
      </c>
      <c r="B1115" s="81" t="n">
        <v>371</v>
      </c>
      <c r="C1115" s="82" t="n">
        <v>85</v>
      </c>
      <c r="D1115" s="83" t="n">
        <v>1.8</v>
      </c>
      <c r="E1115" s="133" t="n">
        <v>77</v>
      </c>
      <c r="F1115" s="139" t="n">
        <v>82</v>
      </c>
      <c r="G1115" s="86" t="s">
        <v>30</v>
      </c>
      <c r="H1115" s="87" t="s">
        <v>54</v>
      </c>
      <c r="I1115" s="86" t="n">
        <v>0.13</v>
      </c>
      <c r="J1115" s="88" t="n">
        <v>80</v>
      </c>
      <c r="K1115" s="89" t="s">
        <v>26</v>
      </c>
      <c r="L1115" s="86" t="n">
        <v>9</v>
      </c>
      <c r="M1115" s="122" t="n">
        <v>43686</v>
      </c>
      <c r="N1115" s="86" t="s">
        <v>32</v>
      </c>
      <c r="O1115" s="91" t="n">
        <v>42767</v>
      </c>
      <c r="P1115" s="145" t="n">
        <v>599</v>
      </c>
      <c r="Q1115" s="145" t="n">
        <v>470</v>
      </c>
      <c r="R1115" s="93" t="str">
        <f aca="false">HYPERLINK("https://amzn.to/2YB4RxU","link*")</f>
        <v>link*</v>
      </c>
      <c r="S1115" s="93" t="str">
        <f aca="false">HYPERLINK("https://www.bhphotovideo.com/c/product/1140833-REG/zeiss_2103_751_85mm_f_1_8_batis_short.html/BI/19619/KBID/12129/DFF/d10-v21-t1-x627139/SID/EZ","link*")</f>
        <v>link*</v>
      </c>
      <c r="T1115" s="94" t="s">
        <v>33</v>
      </c>
      <c r="U1115" s="93"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116" customFormat="false" ht="15.75" hidden="true" customHeight="false" outlineLevel="0" collapsed="false">
      <c r="A1116" s="80" t="s">
        <v>151</v>
      </c>
      <c r="B1116" s="81" t="n">
        <v>645</v>
      </c>
      <c r="C1116" s="82" t="n">
        <v>85</v>
      </c>
      <c r="D1116" s="83" t="n">
        <v>1.8</v>
      </c>
      <c r="E1116" s="133" t="n">
        <v>80</v>
      </c>
      <c r="F1116" s="139" t="n">
        <v>93</v>
      </c>
      <c r="G1116" s="86" t="s">
        <v>30</v>
      </c>
      <c r="H1116" s="87" t="s">
        <v>49</v>
      </c>
      <c r="I1116" s="86" t="n">
        <v>0.125</v>
      </c>
      <c r="J1116" s="88" t="n">
        <v>80</v>
      </c>
      <c r="K1116" s="89" t="s">
        <v>26</v>
      </c>
      <c r="L1116" s="86" t="n">
        <v>9</v>
      </c>
      <c r="M1116" s="122" t="n">
        <v>44022</v>
      </c>
      <c r="N1116" s="86" t="s">
        <v>68</v>
      </c>
      <c r="O1116" s="91" t="n">
        <v>43922</v>
      </c>
      <c r="P1116" s="92" t="n">
        <v>499</v>
      </c>
      <c r="Q1116" s="92"/>
      <c r="R1116" s="94"/>
      <c r="S1116" s="94"/>
      <c r="T1116" s="94"/>
      <c r="U1116" s="94"/>
      <c r="V1116" s="69" t="s">
        <v>274</v>
      </c>
    </row>
    <row r="1117" customFormat="false" ht="15.75" hidden="true" customHeight="false" outlineLevel="0" collapsed="false">
      <c r="A1117" s="128" t="str">
        <f aca="false">HYPERLINK("https://phillipreeve.net/blog/zeiss-batis-sonnar-t-85mm-f1-8-a-review/","Zeiss Batis 1.8/85")</f>
        <v>Zeiss Batis 1.8/85</v>
      </c>
      <c r="B1117" s="81" t="n">
        <v>475</v>
      </c>
      <c r="C1117" s="82" t="n">
        <v>85</v>
      </c>
      <c r="D1117" s="83" t="n">
        <v>1.8</v>
      </c>
      <c r="E1117" s="133" t="n">
        <v>92</v>
      </c>
      <c r="F1117" s="139" t="n">
        <v>81</v>
      </c>
      <c r="G1117" s="86" t="s">
        <v>30</v>
      </c>
      <c r="H1117" s="87" t="s">
        <v>54</v>
      </c>
      <c r="I1117" s="86" t="n">
        <v>0.13</v>
      </c>
      <c r="J1117" s="88" t="n">
        <v>80</v>
      </c>
      <c r="K1117" s="174" t="s">
        <v>50</v>
      </c>
      <c r="L1117" s="86" t="n">
        <v>9</v>
      </c>
      <c r="M1117" s="122" t="n">
        <v>43688</v>
      </c>
      <c r="N1117" s="86" t="s">
        <v>59</v>
      </c>
      <c r="O1117" s="91" t="n">
        <v>42125</v>
      </c>
      <c r="P1117" s="92" t="n">
        <v>1199</v>
      </c>
      <c r="Q1117" s="92" t="n">
        <v>750</v>
      </c>
      <c r="R1117" s="93" t="str">
        <f aca="false">HYPERLINK("https://amzn.to/2T8oWqt","link*")</f>
        <v>link*</v>
      </c>
      <c r="S1117" s="93" t="str">
        <f aca="false">HYPERLINK("https://www.bhphotovideo.com/c/product/1140833-REG/zeiss_2103_751_85mm_f_1_8_batis_short.html/BI/19619/KBID/12129/DFF/d10-v21-t1-x627139/SID/EZ","link*")</f>
        <v>link*</v>
      </c>
      <c r="T1117" s="94" t="s">
        <v>33</v>
      </c>
      <c r="U1117" s="93"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118" customFormat="false" ht="15.75" hidden="false" customHeight="false" outlineLevel="0" collapsed="false">
      <c r="A1118" s="128" t="str">
        <f aca="false">HYPERLINK("https://phillipreeve.net/blog/tokina-firin-20mm-f2-fe-review-a-good-deal/","Tokina Firin 2/20")</f>
        <v>Tokina Firin 2/20</v>
      </c>
      <c r="B1118" s="81" t="n">
        <v>492</v>
      </c>
      <c r="C1118" s="82" t="n">
        <v>20</v>
      </c>
      <c r="D1118" s="123" t="n">
        <v>2</v>
      </c>
      <c r="E1118" s="124" t="n">
        <v>69</v>
      </c>
      <c r="F1118" s="125" t="n">
        <v>82</v>
      </c>
      <c r="G1118" s="89" t="s">
        <v>24</v>
      </c>
      <c r="H1118" s="87" t="s">
        <v>67</v>
      </c>
      <c r="I1118" s="86" t="n">
        <v>0.1</v>
      </c>
      <c r="J1118" s="88" t="n">
        <v>30</v>
      </c>
      <c r="K1118" s="89" t="s">
        <v>26</v>
      </c>
      <c r="L1118" s="86" t="n">
        <v>9</v>
      </c>
      <c r="M1118" s="126" t="s">
        <v>55</v>
      </c>
      <c r="N1118" s="86" t="s">
        <v>68</v>
      </c>
      <c r="O1118" s="91" t="n">
        <v>42856</v>
      </c>
      <c r="P1118" s="127" t="n">
        <v>799</v>
      </c>
      <c r="Q1118" s="127" t="n">
        <v>300</v>
      </c>
      <c r="R1118" s="93" t="str">
        <f aca="false">HYPERLINK("http://amzn.to/2vlG2Yq","link*")</f>
        <v>link*</v>
      </c>
      <c r="S1118" s="93" t="str">
        <f aca="false">HYPERLINK("https://www.bhphotovideo.com/c/product/1281299-REG/tokina_firin_20mm_f_2_fe.html/BI/19619/KBID/12129/kw/TO202E/DFF/d10-v2-t1-xTO202E","link*")</f>
        <v>link*</v>
      </c>
      <c r="T1118" s="93" t="str">
        <f aca="false">HYPERLINK("http://amzn.to/2vvtDkM","link*")</f>
        <v>link*</v>
      </c>
      <c r="U1118" s="93"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119" customFormat="false" ht="15.75" hidden="true" customHeight="false" outlineLevel="0" collapsed="false">
      <c r="A1119" s="128" t="str">
        <f aca="false">HYPERLINK("https://phillipreeve.net/blog/review-viltrox-85-mm-f-1-8-stm-af-pfu-rbmh/","Viltrox PFU RBMH 85mm f/1.8 STM")</f>
        <v>Viltrox PFU RBMH 85mm f/1.8 STM</v>
      </c>
      <c r="B1119" s="81" t="n">
        <v>636</v>
      </c>
      <c r="C1119" s="82" t="n">
        <v>85</v>
      </c>
      <c r="D1119" s="83" t="n">
        <v>1.8</v>
      </c>
      <c r="E1119" s="133" t="n">
        <v>79</v>
      </c>
      <c r="F1119" s="139" t="n">
        <v>92</v>
      </c>
      <c r="G1119" s="86" t="s">
        <v>30</v>
      </c>
      <c r="H1119" s="87" t="s">
        <v>49</v>
      </c>
      <c r="I1119" s="86" t="n">
        <v>0.13</v>
      </c>
      <c r="J1119" s="88" t="n">
        <v>80</v>
      </c>
      <c r="K1119" s="89" t="s">
        <v>26</v>
      </c>
      <c r="L1119" s="86" t="n">
        <v>9</v>
      </c>
      <c r="M1119" s="122" t="n">
        <v>43656</v>
      </c>
      <c r="N1119" s="86" t="s">
        <v>64</v>
      </c>
      <c r="O1119" s="91" t="n">
        <v>43586</v>
      </c>
      <c r="P1119" s="92" t="n">
        <v>399</v>
      </c>
      <c r="Q1119" s="92" t="s">
        <v>36</v>
      </c>
      <c r="R1119" s="93" t="str">
        <f aca="false">HYPERLINK("https://amzn.to/2SZfd5v","link*")</f>
        <v>link*</v>
      </c>
      <c r="S1119" s="93" t="str">
        <f aca="false">HYPERLINK("https://www.bhphotovideo.com/c/product/1470585-REG/viltrox_pfu_rbmh_85mm_f1_8_stm_e_mount_85mm_f_1_8_lens_for.html/BI/19619/KBID/12129/DFF/d10-v21-t1-x955239/SID/EZ","link*")</f>
        <v>link*</v>
      </c>
      <c r="T1119" s="94" t="s">
        <v>33</v>
      </c>
      <c r="U1119" s="93"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1120" customFormat="false" ht="15.75" hidden="true" customHeight="false" outlineLevel="0" collapsed="false">
      <c r="A1120" s="95" t="s">
        <v>69</v>
      </c>
      <c r="B1120" s="25" t="n">
        <v>464</v>
      </c>
      <c r="C1120" s="26" t="n">
        <v>20</v>
      </c>
      <c r="D1120" s="129" t="n">
        <v>2</v>
      </c>
      <c r="E1120" s="130" t="n">
        <v>73</v>
      </c>
      <c r="F1120" s="131" t="n">
        <v>82</v>
      </c>
      <c r="G1120" s="30" t="s">
        <v>30</v>
      </c>
      <c r="H1120" s="31" t="s">
        <v>67</v>
      </c>
      <c r="I1120" s="32" t="n">
        <v>0.1</v>
      </c>
      <c r="J1120" s="33" t="n">
        <v>30</v>
      </c>
      <c r="K1120" s="30" t="s">
        <v>26</v>
      </c>
      <c r="L1120" s="32" t="n">
        <v>9</v>
      </c>
      <c r="M1120" s="34" t="s">
        <v>55</v>
      </c>
      <c r="N1120" s="32" t="s">
        <v>68</v>
      </c>
      <c r="O1120" s="35" t="n">
        <v>43221</v>
      </c>
      <c r="P1120" s="36" t="n">
        <v>949</v>
      </c>
      <c r="Q1120" s="36" t="n">
        <v>600</v>
      </c>
      <c r="R1120" s="37" t="str">
        <f aca="false">HYPERLINK("https://amzn.to/2GDurZb","link*")</f>
        <v>link*</v>
      </c>
      <c r="S1120" s="37" t="str">
        <f aca="false">HYPERLINK("https://www.bhphotovideo.com/c/product/1393327-REG/tokina_firin_20mm_f_2_fe.html/BI/19619/KBID/12129/DFF/d10-v21-t1-x880327/SID/EZ","link*")</f>
        <v>link*</v>
      </c>
      <c r="T1120" s="37" t="str">
        <f aca="false">HYPERLINK("https://amzn.to/2GJYCxw","link*")</f>
        <v>link*</v>
      </c>
      <c r="U1120" s="37"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V1120" s="38"/>
    </row>
    <row r="1121" customFormat="false" ht="15.75" hidden="true" customHeight="false" outlineLevel="0" collapsed="false">
      <c r="A1121" s="99" t="str">
        <f aca="false">HYPERLINK("https://phillipreeve.net/blog/review-sony-fe-90mm-f2-8-macro-oss-one-of-sonys-finest/","Sony 2.8/90 G OSS")</f>
        <v>Sony 2.8/90 G OSS</v>
      </c>
      <c r="B1121" s="100" t="n">
        <v>602</v>
      </c>
      <c r="C1121" s="101" t="n">
        <v>90</v>
      </c>
      <c r="D1121" s="102" t="n">
        <v>2.8</v>
      </c>
      <c r="E1121" s="130" t="n">
        <v>79</v>
      </c>
      <c r="F1121" s="175" t="n">
        <v>131</v>
      </c>
      <c r="G1121" s="107" t="s">
        <v>30</v>
      </c>
      <c r="H1121" s="106" t="s">
        <v>67</v>
      </c>
      <c r="I1121" s="277" t="n">
        <v>1</v>
      </c>
      <c r="J1121" s="108" t="n">
        <v>28</v>
      </c>
      <c r="K1121" s="278" t="s">
        <v>50</v>
      </c>
      <c r="L1121" s="107" t="n">
        <v>9</v>
      </c>
      <c r="M1121" s="238" t="n">
        <v>43784</v>
      </c>
      <c r="N1121" s="107" t="s">
        <v>32</v>
      </c>
      <c r="O1121" s="110" t="n">
        <v>42064</v>
      </c>
      <c r="P1121" s="111" t="n">
        <v>1099</v>
      </c>
      <c r="Q1121" s="111" t="n">
        <v>830</v>
      </c>
      <c r="R1121" s="112" t="str">
        <f aca="false">HYPERLINK("http://amzn.to/2fbeX3x","link*")</f>
        <v>link*</v>
      </c>
      <c r="S1121" s="112" t="str">
        <f aca="false">HYPERLINK("https://www.bhphotovideo.com/c/product/1380868-REG/sony_fe_90mm_f_2_8_macro.html/BI/19619/KBID/12129/kw/SO9028F/DFF/d10-v2-t1-xSO9028F","link*")</f>
        <v>link*</v>
      </c>
      <c r="T1121" s="112" t="str">
        <f aca="false">HYPERLINK("http://amzn.to/2vvvHcw","link*")</f>
        <v>link*</v>
      </c>
      <c r="U1121" s="112"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121" s="38"/>
    </row>
    <row r="1122" customFormat="false" ht="15.75" hidden="true" customHeight="false" outlineLevel="0" collapsed="false">
      <c r="A1122" s="113" t="str">
        <f aca="false">HYPERLINK("https://phillipreeve.net/blog/review-sony-fe-100-f-2-8-stf-gm-oss-lens/","Sony GM 2.8/100 STF OSS")</f>
        <v>Sony GM 2.8/100 STF OSS</v>
      </c>
      <c r="B1122" s="40" t="n">
        <v>700</v>
      </c>
      <c r="C1122" s="41" t="n">
        <v>100</v>
      </c>
      <c r="D1122" s="42" t="n">
        <v>2.8</v>
      </c>
      <c r="E1122" s="133" t="n">
        <v>85</v>
      </c>
      <c r="F1122" s="139" t="n">
        <v>118</v>
      </c>
      <c r="G1122" s="47" t="s">
        <v>30</v>
      </c>
      <c r="H1122" s="46" t="s">
        <v>49</v>
      </c>
      <c r="I1122" s="279" t="n">
        <v>0.25</v>
      </c>
      <c r="J1122" s="48" t="n">
        <v>57</v>
      </c>
      <c r="K1122" s="114" t="s">
        <v>50</v>
      </c>
      <c r="L1122" s="47" t="n">
        <v>11</v>
      </c>
      <c r="M1122" s="79" t="n">
        <v>43752</v>
      </c>
      <c r="N1122" s="47" t="s">
        <v>32</v>
      </c>
      <c r="O1122" s="50" t="n">
        <v>42767</v>
      </c>
      <c r="P1122" s="51" t="n">
        <v>1499</v>
      </c>
      <c r="Q1122" s="51" t="n">
        <v>1100</v>
      </c>
      <c r="R1122" s="52" t="str">
        <f aca="false">HYPERLINK("https://amzn.to/2YD8rn4","link*")</f>
        <v>link*</v>
      </c>
      <c r="S1122" s="52" t="str">
        <f aca="false">HYPERLINK("https://www.bhphotovideo.com/c/product/1317561-REG/sony_sel100f28gm_fe_100mm_f_2_8_stf.html/BI/19619/KBID/12129/DFF/d10-v21-t1-x795192/SID/EZ","link*")</f>
        <v>link*</v>
      </c>
      <c r="T1122" s="140" t="s">
        <v>33</v>
      </c>
      <c r="U1122" s="52"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122" s="69" t="s">
        <v>158</v>
      </c>
    </row>
    <row r="1123" customFormat="false" ht="15.75" hidden="true" customHeight="false" outlineLevel="0" collapsed="false">
      <c r="A1123" s="128" t="str">
        <f aca="false">HYPERLINK("https://phillipreeve.net/blog/review-tokina-firin-100mm-f2-8-fe-macro/","Tokina Firin 2.8/100 Macro")</f>
        <v>Tokina Firin 2.8/100 Macro</v>
      </c>
      <c r="B1123" s="81" t="n">
        <v>570</v>
      </c>
      <c r="C1123" s="82" t="n">
        <v>100</v>
      </c>
      <c r="D1123" s="83" t="n">
        <v>2.8</v>
      </c>
      <c r="E1123" s="133" t="n">
        <v>74</v>
      </c>
      <c r="F1123" s="134" t="n">
        <v>123</v>
      </c>
      <c r="G1123" s="86" t="s">
        <v>30</v>
      </c>
      <c r="H1123" s="87" t="s">
        <v>78</v>
      </c>
      <c r="I1123" s="280" t="n">
        <v>1</v>
      </c>
      <c r="J1123" s="88" t="n">
        <v>30</v>
      </c>
      <c r="K1123" s="89" t="s">
        <v>26</v>
      </c>
      <c r="L1123" s="86" t="n">
        <v>9</v>
      </c>
      <c r="M1123" s="122" t="n">
        <v>43686</v>
      </c>
      <c r="N1123" s="86" t="s">
        <v>68</v>
      </c>
      <c r="O1123" s="91" t="n">
        <v>43617</v>
      </c>
      <c r="P1123" s="127" t="n">
        <v>599</v>
      </c>
      <c r="Q1123" s="127" t="s">
        <v>36</v>
      </c>
      <c r="R1123" s="93" t="str">
        <f aca="false">HYPERLINK("http://amzn.to/2fbeX3x","link*")</f>
        <v>link*</v>
      </c>
      <c r="S1123" s="93" t="str">
        <f aca="false">HYPERLINK("https://www.bhphotovideo.com/c/product/1473390-REG/tokina_frn_afm100fxse_firin_100mm_f_2_8_fe.html/BI/19619/KBID/12129/kw/TO100AF/DFF/d10-v2-t1-xTO100AF","link*")</f>
        <v>link*</v>
      </c>
      <c r="T1123" s="93"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123" s="93"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V1123" s="69" t="s">
        <v>260</v>
      </c>
    </row>
    <row r="1124" customFormat="false" ht="15.75" hidden="true" customHeight="false" outlineLevel="0" collapsed="false">
      <c r="A1124" s="95" t="s">
        <v>161</v>
      </c>
      <c r="B1124" s="25" t="n">
        <v>1395</v>
      </c>
      <c r="C1124" s="26" t="n">
        <v>100</v>
      </c>
      <c r="D1124" s="27" t="s">
        <v>144</v>
      </c>
      <c r="E1124" s="130" t="n">
        <v>94</v>
      </c>
      <c r="F1124" s="131" t="n">
        <v>205</v>
      </c>
      <c r="G1124" s="32" t="s">
        <v>30</v>
      </c>
      <c r="H1124" s="31" t="s">
        <v>57</v>
      </c>
      <c r="I1124" s="231" t="n">
        <v>0.35</v>
      </c>
      <c r="J1124" s="33" t="n">
        <v>98</v>
      </c>
      <c r="K1124" s="176" t="s">
        <v>50</v>
      </c>
      <c r="L1124" s="32" t="n">
        <v>9</v>
      </c>
      <c r="M1124" s="255" t="s">
        <v>160</v>
      </c>
      <c r="N1124" s="32" t="s">
        <v>32</v>
      </c>
      <c r="O1124" s="35" t="n">
        <v>42826</v>
      </c>
      <c r="P1124" s="36" t="n">
        <v>2499</v>
      </c>
      <c r="Q1124" s="36" t="n">
        <v>1950</v>
      </c>
      <c r="R1124" s="37" t="str">
        <f aca="false">HYPERLINK("https://amzn.to/2SZ0aZO","link*")</f>
        <v>link*</v>
      </c>
      <c r="S1124" s="37" t="str">
        <f aca="false">HYPERLINK("https://www.bhphotovideo.com/c/product/1333230-REG/sony_sel100400gm_fe_100_400mm_f_4_5_5_6_gm.html/BI/19619/KBID/12129/DFF/d10-v21-t1-x817745/SID/EZ","link*")</f>
        <v>link*</v>
      </c>
      <c r="T1124" s="71" t="s">
        <v>33</v>
      </c>
      <c r="U1124" s="37"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124" s="38"/>
    </row>
    <row r="1125" customFormat="false" ht="15.75" hidden="true" customHeight="false" outlineLevel="0" collapsed="false">
      <c r="A1125" s="285" t="s">
        <v>162</v>
      </c>
      <c r="B1125" s="100" t="n">
        <v>1720</v>
      </c>
      <c r="C1125" s="101" t="n">
        <v>105</v>
      </c>
      <c r="D1125" s="102" t="n">
        <v>1.4</v>
      </c>
      <c r="E1125" s="130" t="n">
        <v>116</v>
      </c>
      <c r="F1125" s="131" t="n">
        <v>157.5</v>
      </c>
      <c r="G1125" s="107" t="s">
        <v>30</v>
      </c>
      <c r="H1125" s="286" t="s">
        <v>163</v>
      </c>
      <c r="I1125" s="107" t="n">
        <v>0.12</v>
      </c>
      <c r="J1125" s="108" t="n">
        <v>100</v>
      </c>
      <c r="K1125" s="105" t="s">
        <v>26</v>
      </c>
      <c r="L1125" s="107" t="n">
        <v>9</v>
      </c>
      <c r="M1125" s="238" t="n">
        <v>43816</v>
      </c>
      <c r="N1125" s="107" t="s">
        <v>164</v>
      </c>
      <c r="O1125" s="110" t="n">
        <v>43221</v>
      </c>
      <c r="P1125" s="111" t="n">
        <v>1599</v>
      </c>
      <c r="Q1125" s="111" t="n">
        <v>1200</v>
      </c>
      <c r="R1125" s="112" t="str">
        <f aca="false">HYPERLINK("https://amzn.to/2EWeThZ","link*")</f>
        <v>link*</v>
      </c>
      <c r="S1125" s="112" t="str">
        <f aca="false">HYPERLINK("https://www.bhphotovideo.com/c/product/1393488-REG/sigma_105mm_f_1_4_dg_hsm.html/BI/19619/KBID/12129/kw/SI10514SO/DFF/d10-v2-t1-xSI10514SO","link*")</f>
        <v>link*</v>
      </c>
      <c r="T1125" s="112" t="str">
        <f aca="false">HYPERLINK("https://amzn.to/2WpOvTy","link*")</f>
        <v>link*</v>
      </c>
      <c r="U1125" s="112"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125" s="38" t="s">
        <v>260</v>
      </c>
    </row>
    <row r="1126" customFormat="false" ht="15.75" hidden="true" customHeight="false" outlineLevel="0" collapsed="false">
      <c r="A1126" s="132" t="s">
        <v>70</v>
      </c>
      <c r="B1126" s="81" t="n">
        <v>220</v>
      </c>
      <c r="C1126" s="82" t="n">
        <v>20</v>
      </c>
      <c r="D1126" s="83" t="n">
        <v>2.8</v>
      </c>
      <c r="E1126" s="133" t="n">
        <v>73</v>
      </c>
      <c r="F1126" s="134" t="n">
        <v>64</v>
      </c>
      <c r="G1126" s="89" t="s">
        <v>30</v>
      </c>
      <c r="H1126" s="87" t="s">
        <v>54</v>
      </c>
      <c r="I1126" s="135" t="n">
        <v>0.5</v>
      </c>
      <c r="J1126" s="88" t="n">
        <v>11</v>
      </c>
      <c r="K1126" s="89" t="s">
        <v>26</v>
      </c>
      <c r="L1126" s="86" t="n">
        <v>7</v>
      </c>
      <c r="M1126" s="126" t="s">
        <v>71</v>
      </c>
      <c r="N1126" s="86" t="s">
        <v>56</v>
      </c>
      <c r="O1126" s="91" t="n">
        <v>43860</v>
      </c>
      <c r="P1126" s="136" t="n">
        <v>349</v>
      </c>
      <c r="Q1126" s="136" t="n">
        <v>225</v>
      </c>
      <c r="R1126" s="137" t="s">
        <v>33</v>
      </c>
      <c r="S1126" s="93" t="str">
        <f aca="false">HYPERLINK("https://www.bhphotovideo.com/c/product/1512041-REG/tamron_f050_20mm_f_2_8_di_iii.html/BI/19619/KBID/12129/DFF/d10-v21-t1-x994970/SID/EZ","link*")</f>
        <v>link*</v>
      </c>
      <c r="T1126" s="94"/>
      <c r="U1126" s="93" t="str">
        <f aca="false">HYPERLINK("http://rover.ebay.com/rover/1/711-53200-19255-0/1?icep_ff3=9&amp;pub=5575076376&amp;toolid=10001&amp;campid=5338573609&amp;customid=&amp;icep_uq=tamron+20+2.8+osd+&amp;icep_sellerId=&amp;icep_ex_kw=&amp;icep_sortBy=12&amp;icep_catId=3323&amp;icep_minPrice=&amp;icep_maxPrice=&amp;ipn=psmain&amp;icep_vectori"&amp;"d=229466&amp;kwid=902099&amp;mtid=824&amp;kw=lg","link*")</f>
        <v>link*</v>
      </c>
    </row>
    <row r="1127" customFormat="false" ht="15.75" hidden="true" customHeight="false" outlineLevel="0" collapsed="false">
      <c r="A1127" s="113" t="str">
        <f aca="false">HYPERLINK("https://phillipreeve.net/blog/review-sony-fe-135mm-f1-8-gm/","Sony 1.8/135 GM")</f>
        <v>Sony 1.8/135 GM</v>
      </c>
      <c r="B1127" s="40" t="n">
        <v>950</v>
      </c>
      <c r="C1127" s="41" t="n">
        <v>135</v>
      </c>
      <c r="D1127" s="42" t="n">
        <v>1.8</v>
      </c>
      <c r="E1127" s="133" t="n">
        <v>90</v>
      </c>
      <c r="F1127" s="139" t="n">
        <v>127</v>
      </c>
      <c r="G1127" s="47" t="s">
        <v>30</v>
      </c>
      <c r="H1127" s="202" t="s">
        <v>52</v>
      </c>
      <c r="I1127" s="279" t="n">
        <v>0.25</v>
      </c>
      <c r="J1127" s="48" t="n">
        <v>70</v>
      </c>
      <c r="K1127" s="45" t="s">
        <v>26</v>
      </c>
      <c r="L1127" s="47" t="n">
        <v>11</v>
      </c>
      <c r="M1127" s="79" t="n">
        <v>43751</v>
      </c>
      <c r="N1127" s="47" t="s">
        <v>32</v>
      </c>
      <c r="O1127" s="50" t="n">
        <v>43525</v>
      </c>
      <c r="P1127" s="51" t="n">
        <v>1899</v>
      </c>
      <c r="Q1127" s="51" t="n">
        <v>1800</v>
      </c>
      <c r="R1127" s="52" t="str">
        <f aca="false">HYPERLINK("https://amzn.to/2WtonMJ","link*")</f>
        <v>link*</v>
      </c>
      <c r="S1127" s="52" t="str">
        <f aca="false">HYPERLINK("https://www.bhphotovideo.com/c/product/1393495-REG/sigma_135mm_f_1_8_dg_hsm.html/BI/19619/KBID/12129/kw/SI13518SO/DFF/d10-v2-t1-xSI13518SO","link*")</f>
        <v>link*</v>
      </c>
      <c r="T1127" s="52" t="str">
        <f aca="false">HYPERLINK("https://amzn.to/2Z9KKDE","link*")</f>
        <v>link*</v>
      </c>
      <c r="U1127" s="52"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128" customFormat="false" ht="15.75" hidden="true" customHeight="false" outlineLevel="0" collapsed="false">
      <c r="A1128" s="80" t="s">
        <v>166</v>
      </c>
      <c r="B1128" s="81" t="n">
        <v>1225</v>
      </c>
      <c r="C1128" s="82" t="n">
        <v>135</v>
      </c>
      <c r="D1128" s="83" t="n">
        <v>1.8</v>
      </c>
      <c r="E1128" s="133" t="n">
        <v>91</v>
      </c>
      <c r="F1128" s="139" t="n">
        <v>140.9</v>
      </c>
      <c r="G1128" s="86" t="s">
        <v>30</v>
      </c>
      <c r="H1128" s="288" t="s">
        <v>52</v>
      </c>
      <c r="I1128" s="86" t="n">
        <v>0.2</v>
      </c>
      <c r="J1128" s="88" t="n">
        <v>87</v>
      </c>
      <c r="K1128" s="89" t="s">
        <v>26</v>
      </c>
      <c r="L1128" s="86" t="n">
        <v>9</v>
      </c>
      <c r="M1128" s="122" t="n">
        <v>43751</v>
      </c>
      <c r="N1128" s="86" t="s">
        <v>43</v>
      </c>
      <c r="O1128" s="91" t="n">
        <v>43221</v>
      </c>
      <c r="P1128" s="127" t="n">
        <v>1399</v>
      </c>
      <c r="Q1128" s="127" t="n">
        <v>850</v>
      </c>
      <c r="R1128" s="93" t="str">
        <f aca="false">HYPERLINK("https://amzn.to/2yxIM4R","link*")</f>
        <v>link*</v>
      </c>
      <c r="S1128" s="93" t="str">
        <f aca="false">HYPERLINK("https://www.bhphotovideo.com/c/product/1393495-REG/sigma_135mm_f_1_8_dg_hsm.html/BI/19619/KBID/12129/DFF/d10-v21-t1-x881160/SID/EZ","link*")</f>
        <v>link*</v>
      </c>
      <c r="T1128" s="94" t="s">
        <v>33</v>
      </c>
      <c r="U1128" s="93"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V1128" s="69" t="s">
        <v>260</v>
      </c>
    </row>
    <row r="1129" customFormat="false" ht="15.75" hidden="true" customHeight="false" outlineLevel="0" collapsed="false">
      <c r="A1129" s="24" t="str">
        <f aca="false">HYPERLINK("https://phillipreeve.net/blog/zeiss-batis-apo-sonnar-t-135mm-f2-8/","Zeiss 2.8/135 APO")</f>
        <v>Zeiss 2.8/135 APO</v>
      </c>
      <c r="B1129" s="25" t="n">
        <v>614</v>
      </c>
      <c r="C1129" s="26" t="n">
        <v>135</v>
      </c>
      <c r="D1129" s="27" t="n">
        <v>2.8</v>
      </c>
      <c r="E1129" s="130" t="n">
        <v>99</v>
      </c>
      <c r="F1129" s="175" t="n">
        <v>120</v>
      </c>
      <c r="G1129" s="32" t="s">
        <v>30</v>
      </c>
      <c r="H1129" s="31" t="s">
        <v>54</v>
      </c>
      <c r="I1129" s="32" t="n">
        <v>0.19</v>
      </c>
      <c r="J1129" s="33" t="n">
        <v>87</v>
      </c>
      <c r="K1129" s="176" t="s">
        <v>50</v>
      </c>
      <c r="L1129" s="32" t="n">
        <v>9</v>
      </c>
      <c r="M1129" s="98" t="n">
        <v>43783</v>
      </c>
      <c r="N1129" s="32" t="s">
        <v>59</v>
      </c>
      <c r="O1129" s="35" t="n">
        <v>42826</v>
      </c>
      <c r="P1129" s="36" t="n">
        <v>1699</v>
      </c>
      <c r="Q1129" s="36" t="n">
        <v>1000</v>
      </c>
      <c r="R1129" s="37" t="str">
        <f aca="false">HYPERLINK("https://amzn.to/319GJA4","link*")</f>
        <v>link*</v>
      </c>
      <c r="S1129" s="37" t="str">
        <f aca="false">HYPERLINK("https://www.bhphotovideo.com/c/product/1330083-REG/zeiss_2136_695_batis_135mm_f_2_8_lens.html/BI/19619/KBID/12129/DFF/d10-v21-t1-x814884/SID/EZ","link*")</f>
        <v>link*</v>
      </c>
      <c r="T1129" s="71" t="s">
        <v>33</v>
      </c>
      <c r="U1129" s="37"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129" s="38"/>
    </row>
    <row r="1130" customFormat="false" ht="15.75" hidden="true" customHeight="false" outlineLevel="0" collapsed="false">
      <c r="A1130" s="285" t="s">
        <v>172</v>
      </c>
      <c r="B1130" s="100" t="n">
        <v>2215</v>
      </c>
      <c r="C1130" s="101" t="n">
        <v>200</v>
      </c>
      <c r="D1130" s="102" t="s">
        <v>173</v>
      </c>
      <c r="E1130" s="130" t="n">
        <v>112</v>
      </c>
      <c r="F1130" s="175" t="n">
        <v>318</v>
      </c>
      <c r="G1130" s="107" t="s">
        <v>30</v>
      </c>
      <c r="H1130" s="290" t="s">
        <v>105</v>
      </c>
      <c r="I1130" s="107" t="n">
        <v>0.2</v>
      </c>
      <c r="J1130" s="108" t="n">
        <v>240</v>
      </c>
      <c r="K1130" s="278" t="s">
        <v>50</v>
      </c>
      <c r="L1130" s="107" t="n">
        <v>11</v>
      </c>
      <c r="M1130" s="291" t="s">
        <v>174</v>
      </c>
      <c r="N1130" s="107" t="s">
        <v>32</v>
      </c>
      <c r="O1130" s="110" t="n">
        <v>43647</v>
      </c>
      <c r="P1130" s="111" t="n">
        <v>1999</v>
      </c>
      <c r="Q1130" s="111" t="s">
        <v>36</v>
      </c>
      <c r="R1130" s="239"/>
      <c r="S1130" s="112" t="str">
        <f aca="false">HYPERLINK("https://www.bhphotovideo.com/c/product/1485540-REG/sony_sel200600g_fe_200_600mm_f_5_6_6_3_g.html/BI/19619/KBID/12129/DFF/d10-v21-t1-x968882/SID/EZ","link*")</f>
        <v>link*</v>
      </c>
      <c r="T1130" s="239" t="s">
        <v>33</v>
      </c>
      <c r="U1130" s="112"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130" s="38"/>
    </row>
    <row r="1131" customFormat="false" ht="15.75" hidden="true" customHeight="false" outlineLevel="0" collapsed="false">
      <c r="A1131" s="285" t="s">
        <v>175</v>
      </c>
      <c r="B1131" s="100" t="n">
        <v>2895</v>
      </c>
      <c r="C1131" s="101" t="n">
        <v>400</v>
      </c>
      <c r="D1131" s="102" t="n">
        <v>2.8</v>
      </c>
      <c r="E1131" s="130" t="n">
        <v>158</v>
      </c>
      <c r="F1131" s="175" t="n">
        <v>359</v>
      </c>
      <c r="G1131" s="107" t="s">
        <v>30</v>
      </c>
      <c r="H1131" s="106" t="s">
        <v>176</v>
      </c>
      <c r="I1131" s="107" t="n">
        <v>0.16</v>
      </c>
      <c r="J1131" s="108" t="n">
        <v>270</v>
      </c>
      <c r="K1131" s="278" t="s">
        <v>50</v>
      </c>
      <c r="L1131" s="107" t="n">
        <v>11</v>
      </c>
      <c r="M1131" s="291" t="s">
        <v>177</v>
      </c>
      <c r="N1131" s="107" t="s">
        <v>32</v>
      </c>
      <c r="O1131" s="110" t="n">
        <v>43313</v>
      </c>
      <c r="P1131" s="111" t="n">
        <v>11999</v>
      </c>
      <c r="Q1131" s="111" t="s">
        <v>36</v>
      </c>
      <c r="R1131" s="239"/>
      <c r="S1131" s="112" t="str">
        <f aca="false">HYPERLINK("https://www.bhphotovideo.com/c/product/1369634-REG/sony_fe_400mm_f_2_8_gm.html/BI/19619/KBID/12129/DFF/d10-v21-t1-x905722/SID/EZ","link*")</f>
        <v>link*</v>
      </c>
      <c r="T1131" s="239" t="s">
        <v>33</v>
      </c>
      <c r="U1131" s="112"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131" s="38"/>
    </row>
    <row r="1132" customFormat="false" ht="15.75" hidden="true" customHeight="false" outlineLevel="0" collapsed="false">
      <c r="A1132" s="54" t="s">
        <v>178</v>
      </c>
      <c r="B1132" s="55" t="n">
        <v>3040</v>
      </c>
      <c r="C1132" s="56" t="n">
        <v>600</v>
      </c>
      <c r="D1132" s="57" t="n">
        <v>4</v>
      </c>
      <c r="E1132" s="133" t="n">
        <v>164</v>
      </c>
      <c r="F1132" s="139" t="n">
        <v>449</v>
      </c>
      <c r="G1132" s="62" t="s">
        <v>30</v>
      </c>
      <c r="H1132" s="61" t="s">
        <v>25</v>
      </c>
      <c r="I1132" s="62" t="n">
        <v>0.14</v>
      </c>
      <c r="J1132" s="63" t="n">
        <v>451</v>
      </c>
      <c r="K1132" s="114" t="s">
        <v>50</v>
      </c>
      <c r="L1132" s="62" t="n">
        <v>11</v>
      </c>
      <c r="M1132" s="293" t="s">
        <v>179</v>
      </c>
      <c r="N1132" s="62" t="s">
        <v>32</v>
      </c>
      <c r="O1132" s="65" t="n">
        <v>43678</v>
      </c>
      <c r="P1132" s="66" t="s">
        <v>268</v>
      </c>
      <c r="Q1132" s="66" t="s">
        <v>36</v>
      </c>
      <c r="R1132" s="140"/>
      <c r="S1132" s="52" t="str">
        <f aca="false">HYPERLINK("https://www.bhphotovideo.com/c/product/1485539-REG/sony_sel600f40gm_fe_600mm_f_4_gm.html/BI/19619/KBID/12129/DFF/d10-v21-t1-x968881/SID/EZ","link*")</f>
        <v>link*</v>
      </c>
      <c r="T1132" s="140" t="s">
        <v>33</v>
      </c>
      <c r="U1132" s="52"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1133" customFormat="false" ht="15.75" hidden="false" customHeight="false" outlineLevel="0" collapsed="false">
      <c r="A1133" s="113" t="str">
        <f aca="false">HYPERLINK("https://phillipreeve.net/blog/review_voigtlander_21mm_f14_e/","Voigtlander 21mm F1.4 Nokton")</f>
        <v>Voigtlander 21mm F1.4 Nokton</v>
      </c>
      <c r="B1133" s="40" t="n">
        <v>540</v>
      </c>
      <c r="C1133" s="41" t="n">
        <v>21</v>
      </c>
      <c r="D1133" s="138" t="n">
        <v>1.4</v>
      </c>
      <c r="E1133" s="133" t="n">
        <v>70</v>
      </c>
      <c r="F1133" s="139" t="n">
        <v>80</v>
      </c>
      <c r="G1133" s="45" t="s">
        <v>24</v>
      </c>
      <c r="H1133" s="46" t="s">
        <v>67</v>
      </c>
      <c r="I1133" s="47"/>
      <c r="J1133" s="48" t="n">
        <v>25</v>
      </c>
      <c r="K1133" s="45" t="s">
        <v>26</v>
      </c>
      <c r="L1133" s="47" t="n">
        <v>12</v>
      </c>
      <c r="M1133" s="49" t="s">
        <v>55</v>
      </c>
      <c r="N1133" s="47" t="s">
        <v>28</v>
      </c>
      <c r="O1133" s="50" t="n">
        <v>43617</v>
      </c>
      <c r="P1133" s="51" t="n">
        <v>1199</v>
      </c>
      <c r="Q1133" s="51" t="s">
        <v>36</v>
      </c>
      <c r="R1133" s="52" t="str">
        <f aca="false">HYPERLINK("https://amzn.to/2K7gHrC","link*")</f>
        <v>link*</v>
      </c>
      <c r="S1133" s="52" t="str">
        <f aca="false">HYPERLINK("https://www.bhphotovideo.com/c/product/1480269-REG/voigtlander_ba352a_nokton_21mm_f_1_4_aspherical.html/BI/19619/KBID/12129/DFF/d10-v21-t1-x963269/SID/EZ","link*")</f>
        <v>link*</v>
      </c>
      <c r="T1133" s="140"/>
      <c r="U1133" s="52"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1134" customFormat="false" ht="15.75" hidden="false" customHeight="false" outlineLevel="0" collapsed="false">
      <c r="A1134" s="128" t="str">
        <f aca="false">HYPERLINK("https://phillipreeve.net/blog/rolling-review-zeiss-loxia-distagon-2-821mm-t/https://phillipreeve.net/blog/rolling-review-zeiss-loxia-distagon-2-821mm-t/","Zeiss Loxia 2.8/21 Distagon T*")</f>
        <v>Zeiss Loxia 2.8/21 Distagon T*</v>
      </c>
      <c r="B1134" s="81" t="n">
        <v>394</v>
      </c>
      <c r="C1134" s="82" t="n">
        <v>21</v>
      </c>
      <c r="D1134" s="83" t="n">
        <v>2.8</v>
      </c>
      <c r="E1134" s="133" t="n">
        <v>62</v>
      </c>
      <c r="F1134" s="139" t="n">
        <v>72</v>
      </c>
      <c r="G1134" s="89" t="s">
        <v>24</v>
      </c>
      <c r="H1134" s="87" t="s">
        <v>73</v>
      </c>
      <c r="I1134" s="86" t="n">
        <v>0.13</v>
      </c>
      <c r="J1134" s="88" t="n">
        <v>25</v>
      </c>
      <c r="K1134" s="89" t="s">
        <v>26</v>
      </c>
      <c r="L1134" s="86" t="n">
        <v>10</v>
      </c>
      <c r="M1134" s="126" t="s">
        <v>74</v>
      </c>
      <c r="N1134" s="86" t="s">
        <v>59</v>
      </c>
      <c r="O1134" s="91" t="n">
        <v>42339</v>
      </c>
      <c r="P1134" s="92" t="n">
        <v>1499</v>
      </c>
      <c r="Q1134" s="92" t="n">
        <v>750</v>
      </c>
      <c r="R1134" s="93" t="str">
        <f aca="false">HYPERLINK("https://amzn.to/2yspzBm","link*")</f>
        <v>link*</v>
      </c>
      <c r="S1134" s="93" t="str">
        <f aca="false">HYPERLINK("https://www.bhphotovideo.com/c/product/1189220-REG/zeiss_2131_999_loxia_21mm_f_2_8_lens.html/BI/19619/KBID/12129/DFF/d10-v21-t1-x677077/SID/EZ","link*")</f>
        <v>link*</v>
      </c>
      <c r="T1134" s="93" t="str">
        <f aca="false">HYPERLINK("https://amzn.to/2GHSOoA","link*")</f>
        <v>link*</v>
      </c>
      <c r="U1134" s="93"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1135" customFormat="false" ht="15.75" hidden="false" customHeight="false" outlineLevel="0" collapsed="false">
      <c r="A1135" s="24" t="str">
        <f aca="false">HYPERLINK("https://phillipreeve.net/blog/voigtlander-21mm-f35-review/","Voigtlander 21mm F3.5 Color-Skopar")</f>
        <v>Voigtlander 21mm F3.5 Color-Skopar</v>
      </c>
      <c r="B1135" s="25" t="n">
        <v>230</v>
      </c>
      <c r="C1135" s="26" t="n">
        <v>21</v>
      </c>
      <c r="D1135" s="27" t="n">
        <v>3.5</v>
      </c>
      <c r="E1135" s="130" t="n">
        <v>63</v>
      </c>
      <c r="F1135" s="131" t="n">
        <v>40</v>
      </c>
      <c r="G1135" s="30" t="s">
        <v>24</v>
      </c>
      <c r="H1135" s="31" t="s">
        <v>73</v>
      </c>
      <c r="I1135" s="32"/>
      <c r="J1135" s="33" t="n">
        <v>20</v>
      </c>
      <c r="K1135" s="30" t="s">
        <v>26</v>
      </c>
      <c r="L1135" s="32" t="n">
        <v>10</v>
      </c>
      <c r="M1135" s="34" t="s">
        <v>61</v>
      </c>
      <c r="N1135" s="32" t="s">
        <v>28</v>
      </c>
      <c r="O1135" s="35" t="n">
        <v>43374</v>
      </c>
      <c r="P1135" s="36" t="n">
        <v>699</v>
      </c>
      <c r="Q1135" s="36" t="n">
        <v>525</v>
      </c>
      <c r="R1135" s="37" t="str">
        <f aca="false">HYPERLINK("https://amzn.to/2JCie75","link*")</f>
        <v>link*</v>
      </c>
      <c r="S1135" s="37" t="str">
        <f aca="false">HYPERLINK("https://www.bhphotovideo.com/c/product/1437613-REG/voigtlander_color_skopar_21mm_f_3_5_aspherical.html/BI/19619/KBID/12129/kw/VO2135E/DFF/d10-v2-t1-xVO2135E","link*")</f>
        <v>link*</v>
      </c>
      <c r="T1135" s="37" t="str">
        <f aca="false">HYPERLINK("https://amzn.to/2ZoERan","link*")</f>
        <v>link*</v>
      </c>
      <c r="U1135" s="37"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V1135" s="38"/>
    </row>
    <row r="1136" customFormat="false" ht="15.75" hidden="true" customHeight="false" outlineLevel="0" collapsed="false">
      <c r="A1136" s="113" t="str">
        <f aca="false">HYPERLINK("https://phillipreeve.net/blog/review-sony-fe-24mm-1-4-gm/","Sony GM 1.4/24")</f>
        <v>Sony GM 1.4/24</v>
      </c>
      <c r="B1136" s="40" t="n">
        <v>445</v>
      </c>
      <c r="C1136" s="41" t="n">
        <v>24</v>
      </c>
      <c r="D1136" s="138" t="n">
        <v>1.4</v>
      </c>
      <c r="E1136" s="133" t="n">
        <v>75</v>
      </c>
      <c r="F1136" s="139" t="n">
        <v>92</v>
      </c>
      <c r="G1136" s="45" t="s">
        <v>30</v>
      </c>
      <c r="H1136" s="46" t="s">
        <v>54</v>
      </c>
      <c r="I1136" s="47" t="n">
        <v>0.17</v>
      </c>
      <c r="J1136" s="48" t="n">
        <v>25</v>
      </c>
      <c r="K1136" s="45" t="s">
        <v>26</v>
      </c>
      <c r="L1136" s="47" t="n">
        <v>11</v>
      </c>
      <c r="M1136" s="49" t="s">
        <v>27</v>
      </c>
      <c r="N1136" s="47" t="s">
        <v>32</v>
      </c>
      <c r="O1136" s="50" t="n">
        <v>43374</v>
      </c>
      <c r="P1136" s="51" t="n">
        <v>1399</v>
      </c>
      <c r="Q1136" s="51" t="n">
        <v>1150</v>
      </c>
      <c r="R1136" s="52" t="str">
        <f aca="false">HYPERLINK("https://amzn.to/2ywcbw1","link*")</f>
        <v>link*</v>
      </c>
      <c r="S1136" s="52" t="str">
        <f aca="false">HYPERLINK("https://www.bhphotovideo.com/c/product/1435887-REG/sony_fe_24mm_f_1_4_gm.html/BI/19619/KBID/12129/DFF/d10-v21-t1-x915647/SID/EZ","link*")</f>
        <v>link*</v>
      </c>
      <c r="T1136" s="52" t="str">
        <f aca="false">HYPERLINK("https://amzn.to/2L2tV9y","link*")</f>
        <v>link*</v>
      </c>
      <c r="U1136" s="52"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1137" customFormat="false" ht="15.75" hidden="true" customHeight="false" outlineLevel="0" collapsed="false">
      <c r="A1137" s="80" t="s">
        <v>75</v>
      </c>
      <c r="B1137" s="81" t="n">
        <v>760</v>
      </c>
      <c r="C1137" s="82" t="n">
        <v>24</v>
      </c>
      <c r="D1137" s="142" t="n">
        <v>1.4</v>
      </c>
      <c r="E1137" s="133" t="n">
        <v>85</v>
      </c>
      <c r="F1137" s="139" t="n">
        <v>116</v>
      </c>
      <c r="G1137" s="86" t="s">
        <v>30</v>
      </c>
      <c r="H1137" s="87" t="s">
        <v>57</v>
      </c>
      <c r="I1137" s="86" t="n">
        <v>0.19</v>
      </c>
      <c r="J1137" s="88" t="n">
        <v>25</v>
      </c>
      <c r="K1137" s="89" t="s">
        <v>26</v>
      </c>
      <c r="L1137" s="86" t="n">
        <v>9</v>
      </c>
      <c r="M1137" s="122" t="n">
        <v>43784</v>
      </c>
      <c r="N1137" s="86" t="s">
        <v>43</v>
      </c>
      <c r="O1137" s="91" t="n">
        <v>43221</v>
      </c>
      <c r="P1137" s="92" t="n">
        <v>849</v>
      </c>
      <c r="Q1137" s="92" t="n">
        <v>600</v>
      </c>
      <c r="R1137" s="93" t="str">
        <f aca="false">HYPERLINK("https://amzn.to/2Isw2Rv","link*")</f>
        <v>link*</v>
      </c>
      <c r="S1137" s="93" t="str">
        <f aca="false">HYPERLINK("https://www.bhphotovideo.com/c/product/1393491-REG/sigma_24mm_f_1_4_dg_hsm.html/BI/19619/KBID/12129/kw/SI2414SO/DFF/d10-v2-t1-xSI2414SO","link*")</f>
        <v>link*</v>
      </c>
      <c r="T1137" s="93" t="str">
        <f aca="false">HYPERLINK("https://amzn.to/2K7sIP4","link*")</f>
        <v>link*</v>
      </c>
      <c r="U1137" s="93"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row>
    <row r="1138" customFormat="false" ht="15.75" hidden="true" customHeight="false" outlineLevel="0" collapsed="false">
      <c r="A1138" s="128" t="str">
        <f aca="false">HYPERLINK("https://phillipreeve.net/blog/review-samyang-af-2-4-28-fe-at-least-its-small/","Samyang AF 24mm F/2.8")</f>
        <v>Samyang AF 24mm F/2.8</v>
      </c>
      <c r="B1138" s="81" t="n">
        <v>93</v>
      </c>
      <c r="C1138" s="82" t="n">
        <v>24</v>
      </c>
      <c r="D1138" s="83" t="n">
        <v>2.8</v>
      </c>
      <c r="E1138" s="133" t="n">
        <v>61</v>
      </c>
      <c r="F1138" s="134" t="n">
        <v>37</v>
      </c>
      <c r="G1138" s="89" t="s">
        <v>30</v>
      </c>
      <c r="H1138" s="87" t="s">
        <v>80</v>
      </c>
      <c r="I1138" s="86" t="n">
        <v>0.15</v>
      </c>
      <c r="J1138" s="88" t="n">
        <v>20</v>
      </c>
      <c r="K1138" s="89" t="s">
        <v>26</v>
      </c>
      <c r="L1138" s="86" t="n">
        <v>9</v>
      </c>
      <c r="M1138" s="126" t="s">
        <v>81</v>
      </c>
      <c r="N1138" s="86" t="s">
        <v>47</v>
      </c>
      <c r="O1138" s="91" t="n">
        <v>43282</v>
      </c>
      <c r="P1138" s="127" t="n">
        <v>279</v>
      </c>
      <c r="Q1138" s="127" t="n">
        <v>175</v>
      </c>
      <c r="R1138" s="93" t="str">
        <f aca="false">HYPERLINK("https://amzn.to/2NEHZ7c","link*")</f>
        <v>link*</v>
      </c>
      <c r="S1138" s="93" t="str">
        <f aca="false">HYPERLINK("https://www.bhphotovideo.com/c/product/1413350-REG/samyang_syio24af_e_af_24mm_f_2_8_fe.html/BI/19619/KBID/12129/kw/SASYIO24AFE/DFF/d10-v2-t1-xSASYIO24AFE","link*")</f>
        <v>link*</v>
      </c>
      <c r="T1138" s="93" t="str">
        <f aca="false">HYPERLINK("https://amzn.to/2Onv1QE","link*")</f>
        <v>link*</v>
      </c>
      <c r="U1138" s="93"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1139" customFormat="false" ht="15.75" hidden="true" customHeight="false" outlineLevel="0" collapsed="false">
      <c r="A1139" s="144" t="str">
        <f aca="false">HYPERLINK("https://phillipreeve.net/blog/review-tamron-24mm-f-2-8-di-iii-osd-m12/","Tamron 24mm f/2.8 Di III OSD M1:2")</f>
        <v>Tamron 24mm f/2.8 Di III OSD M1:2</v>
      </c>
      <c r="B1139" s="81" t="n">
        <v>215</v>
      </c>
      <c r="C1139" s="82" t="n">
        <v>24</v>
      </c>
      <c r="D1139" s="83" t="n">
        <v>2.8</v>
      </c>
      <c r="E1139" s="133" t="n">
        <v>73</v>
      </c>
      <c r="F1139" s="134" t="n">
        <v>64</v>
      </c>
      <c r="G1139" s="89" t="s">
        <v>30</v>
      </c>
      <c r="H1139" s="87" t="s">
        <v>54</v>
      </c>
      <c r="I1139" s="135" t="n">
        <v>0.5</v>
      </c>
      <c r="J1139" s="88" t="n">
        <v>12</v>
      </c>
      <c r="K1139" s="89" t="s">
        <v>26</v>
      </c>
      <c r="L1139" s="86" t="n">
        <v>7</v>
      </c>
      <c r="M1139" s="126" t="s">
        <v>71</v>
      </c>
      <c r="N1139" s="86" t="s">
        <v>56</v>
      </c>
      <c r="O1139" s="91" t="n">
        <v>43796</v>
      </c>
      <c r="P1139" s="92" t="n">
        <v>349</v>
      </c>
      <c r="Q1139" s="92" t="n">
        <v>180</v>
      </c>
      <c r="R1139" s="93" t="str">
        <f aca="false">HYPERLINK("https://amzn.to/34hgYPr","link*")</f>
        <v>link*</v>
      </c>
      <c r="S1139" s="93" t="str">
        <f aca="false">HYPERLINK("https://www.bhphotovideo.com/c/product/1512042-REG/tamron_f051_24mm_f_2_8_di_iii.html/BI/19619/KBID/12129/DFF/d10-v21-t1-x994971/SID/EZ","link*")</f>
        <v>link*</v>
      </c>
      <c r="T1139" s="93" t="str">
        <f aca="false">HYPERLINK("https://amzn.to/38yg1G1","link*")</f>
        <v>link*</v>
      </c>
      <c r="U1139" s="93" t="str">
        <f aca="false">HYPERLINK("http://rover.ebay.com/rover/1/711-53200-19255-0/1?icep_ff3=9&amp;pub=5575076376&amp;toolid=10001&amp;campid=5338573609&amp;customid=&amp;icep_uq=tamron+24+2.8+osd+&amp;icep_sellerId=&amp;icep_ex_kw=&amp;icep_sortBy=12&amp;icep_catId=3323&amp;icep_minPrice=&amp;icep_maxPrice=&amp;ipn=psmain&amp;icep_vectori"&amp;"d=229466&amp;kwid=902099&amp;mtid=824&amp;kw=lg","link*")</f>
        <v>link*</v>
      </c>
    </row>
    <row r="1140" customFormat="false" ht="15.75" hidden="true" customHeight="false" outlineLevel="0" collapsed="false">
      <c r="A1140" s="144" t="str">
        <f aca="false">HYPERLINK("https://phillipreeve.net/blog/review-sony-fe-2-824-70mm-gm/","Sony GM 2.8/24-70")</f>
        <v>Sony GM 2.8/24-70</v>
      </c>
      <c r="B1140" s="81" t="n">
        <v>886</v>
      </c>
      <c r="C1140" s="82" t="n">
        <v>24</v>
      </c>
      <c r="D1140" s="83" t="n">
        <v>2.8</v>
      </c>
      <c r="E1140" s="133" t="n">
        <v>88</v>
      </c>
      <c r="F1140" s="134" t="n">
        <v>136</v>
      </c>
      <c r="G1140" s="89" t="s">
        <v>30</v>
      </c>
      <c r="H1140" s="87" t="s">
        <v>52</v>
      </c>
      <c r="I1140" s="135" t="n">
        <v>0.25</v>
      </c>
      <c r="J1140" s="88" t="n">
        <v>38</v>
      </c>
      <c r="K1140" s="89" t="s">
        <v>26</v>
      </c>
      <c r="L1140" s="86" t="n">
        <v>9</v>
      </c>
      <c r="M1140" s="126" t="s">
        <v>45</v>
      </c>
      <c r="N1140" s="86" t="s">
        <v>32</v>
      </c>
      <c r="O1140" s="91" t="n">
        <v>42401</v>
      </c>
      <c r="P1140" s="92" t="n">
        <v>2199</v>
      </c>
      <c r="Q1140" s="92" t="n">
        <v>1400</v>
      </c>
      <c r="R1140" s="93" t="str">
        <f aca="false">HYPERLINK("https://amzn.to/2STHavK","link*")</f>
        <v>link*</v>
      </c>
      <c r="S1140" s="93" t="str">
        <f aca="false">HYPERLINK("https://www.bhphotovideo.com/c/search?Ntt=gm%2024-70&amp;N=0&amp;InitialSearch=yes&amp;sts=ma&amp;Top+Nav-Search=&amp;BI=19619&amp;KBID=12129&amp;KWID=EZ","link*")</f>
        <v>link*</v>
      </c>
      <c r="T1140" s="93" t="str">
        <f aca="false">HYPERLINK("https://amzn.to/2ZwoyU7","link*")</f>
        <v>link*</v>
      </c>
      <c r="U1140" s="93"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1141" customFormat="false" ht="15.75" hidden="true" customHeight="false" outlineLevel="0" collapsed="false">
      <c r="A1141" s="132" t="s">
        <v>82</v>
      </c>
      <c r="B1141" s="81" t="n">
        <v>835</v>
      </c>
      <c r="C1141" s="82" t="n">
        <v>24</v>
      </c>
      <c r="D1141" s="83" t="n">
        <v>2.8</v>
      </c>
      <c r="E1141" s="133" t="n">
        <v>87.8</v>
      </c>
      <c r="F1141" s="134" t="n">
        <v>122.9</v>
      </c>
      <c r="G1141" s="89" t="s">
        <v>30</v>
      </c>
      <c r="H1141" s="87" t="s">
        <v>52</v>
      </c>
      <c r="I1141" s="135" t="n">
        <v>0.29</v>
      </c>
      <c r="J1141" s="88" t="n">
        <v>18</v>
      </c>
      <c r="K1141" s="89" t="s">
        <v>26</v>
      </c>
      <c r="L1141" s="86" t="n">
        <v>11</v>
      </c>
      <c r="M1141" s="126" t="s">
        <v>83</v>
      </c>
      <c r="N1141" s="86" t="s">
        <v>43</v>
      </c>
      <c r="O1141" s="91" t="n">
        <v>43799</v>
      </c>
      <c r="P1141" s="145" t="s">
        <v>84</v>
      </c>
      <c r="Q1141" s="92" t="n">
        <v>1050</v>
      </c>
      <c r="R1141" s="93" t="str">
        <f aca="false">HYPERLINK("https://amzn.to/2YPjpb1","link*")</f>
        <v>link*</v>
      </c>
      <c r="S1141" s="93" t="str">
        <f aca="false">HYPERLINK("https://www.bhphotovideo.com/c/product/1516303-REG/sigma_24_70mm_f_2_8_dg_dn.html/BI/19619/KBID/12129/DFF/d10-v21-t1-x999330/SID/EZ","link*")</f>
        <v>link*</v>
      </c>
      <c r="T1141" s="94" t="s">
        <v>33</v>
      </c>
      <c r="U1141" s="137" t="s">
        <v>33</v>
      </c>
    </row>
    <row r="1142" customFormat="false" ht="15.75" hidden="true" customHeight="false" outlineLevel="0" collapsed="false">
      <c r="A1142" s="146" t="s">
        <v>85</v>
      </c>
      <c r="B1142" s="147" t="n">
        <v>162</v>
      </c>
      <c r="C1142" s="148" t="n">
        <v>24</v>
      </c>
      <c r="D1142" s="149" t="n">
        <v>2.8</v>
      </c>
      <c r="E1142" s="150" t="n">
        <v>68</v>
      </c>
      <c r="F1142" s="151" t="n">
        <v>45</v>
      </c>
      <c r="G1142" s="152" t="s">
        <v>30</v>
      </c>
      <c r="H1142" s="153" t="s">
        <v>80</v>
      </c>
      <c r="I1142" s="154" t="n">
        <v>0.13</v>
      </c>
      <c r="J1142" s="155" t="n">
        <v>24</v>
      </c>
      <c r="K1142" s="152" t="s">
        <v>26</v>
      </c>
      <c r="L1142" s="156" t="n">
        <v>7</v>
      </c>
      <c r="M1142" s="157" t="s">
        <v>86</v>
      </c>
      <c r="N1142" s="156" t="s">
        <v>32</v>
      </c>
      <c r="O1142" s="158" t="n">
        <v>44287</v>
      </c>
      <c r="P1142" s="228" t="n">
        <v>599</v>
      </c>
      <c r="Q1142" s="92"/>
      <c r="R1142" s="94"/>
      <c r="S1142" s="94"/>
      <c r="T1142" s="94"/>
      <c r="U1142" s="137"/>
      <c r="V1142" s="69"/>
    </row>
    <row r="1143" customFormat="false" ht="15.75" hidden="true" customHeight="false" outlineLevel="0" collapsed="false">
      <c r="A1143" s="392" t="s">
        <v>87</v>
      </c>
      <c r="B1143" s="161" t="n">
        <v>230</v>
      </c>
      <c r="C1143" s="162" t="n">
        <v>24</v>
      </c>
      <c r="D1143" s="163" t="n">
        <v>3.5</v>
      </c>
      <c r="E1143" s="164" t="n">
        <v>64</v>
      </c>
      <c r="F1143" s="165" t="n">
        <v>51</v>
      </c>
      <c r="G1143" s="166" t="s">
        <v>30</v>
      </c>
      <c r="H1143" s="167" t="s">
        <v>78</v>
      </c>
      <c r="I1143" s="168" t="n">
        <v>0.5</v>
      </c>
      <c r="J1143" s="169" t="s">
        <v>88</v>
      </c>
      <c r="K1143" s="170" t="s">
        <v>26</v>
      </c>
      <c r="L1143" s="167" t="n">
        <v>7</v>
      </c>
      <c r="M1143" s="171" t="n">
        <v>44053</v>
      </c>
      <c r="N1143" s="166" t="s">
        <v>43</v>
      </c>
      <c r="O1143" s="172" t="n">
        <v>44196</v>
      </c>
      <c r="P1143" s="173" t="n">
        <v>549</v>
      </c>
      <c r="Q1143" s="92"/>
      <c r="R1143" s="94"/>
      <c r="S1143" s="137" t="s">
        <v>33</v>
      </c>
      <c r="T1143" s="94"/>
      <c r="U1143" s="137"/>
    </row>
    <row r="1144" customFormat="false" ht="15.75" hidden="true" customHeight="false" outlineLevel="0" collapsed="false">
      <c r="A1144" s="80" t="s">
        <v>89</v>
      </c>
      <c r="B1144" s="81" t="n">
        <v>780</v>
      </c>
      <c r="C1144" s="82" t="n">
        <v>24</v>
      </c>
      <c r="D1144" s="83" t="s">
        <v>90</v>
      </c>
      <c r="E1144" s="133" t="n">
        <v>80</v>
      </c>
      <c r="F1144" s="134" t="n">
        <v>119</v>
      </c>
      <c r="G1144" s="89" t="s">
        <v>30</v>
      </c>
      <c r="H1144" s="87" t="s">
        <v>49</v>
      </c>
      <c r="I1144" s="135" t="n">
        <v>0.27</v>
      </c>
      <c r="J1144" s="88" t="n">
        <v>50</v>
      </c>
      <c r="K1144" s="174" t="s">
        <v>50</v>
      </c>
      <c r="L1144" s="86" t="n">
        <v>7</v>
      </c>
      <c r="M1144" s="126" t="s">
        <v>91</v>
      </c>
      <c r="N1144" s="86" t="s">
        <v>32</v>
      </c>
      <c r="O1144" s="91" t="n">
        <v>42064</v>
      </c>
      <c r="P1144" s="92" t="n">
        <v>998</v>
      </c>
      <c r="Q1144" s="92" t="n">
        <v>550</v>
      </c>
      <c r="R1144" s="93" t="str">
        <f aca="false">HYPERLINK("http://amzn.to/2fbX5FU","link*")</f>
        <v>link*</v>
      </c>
      <c r="S1144" s="93" t="str">
        <f aca="false">HYPERLINK("https://www.bhphotovideo.com/c/search?Ntt=sony%2024-240&amp;N=0&amp;InitialSearch=yes&amp;sts=ma&amp;Top+Nav-Search=&amp;BI=19619&amp;KBID=12129&amp;KWID=EZ","link*")</f>
        <v>link*</v>
      </c>
      <c r="T1144" s="93" t="str">
        <f aca="false">HYPERLINK("http://amzn.to/2wyrL7A","link*")</f>
        <v>link*</v>
      </c>
      <c r="U1144" s="93"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1145" customFormat="false" ht="15.75" hidden="true" customHeight="false" outlineLevel="0" collapsed="false">
      <c r="A1145" s="80" t="s">
        <v>92</v>
      </c>
      <c r="B1145" s="81" t="n">
        <v>663</v>
      </c>
      <c r="C1145" s="82" t="n">
        <v>24</v>
      </c>
      <c r="D1145" s="83" t="n">
        <v>4</v>
      </c>
      <c r="E1145" s="133" t="n">
        <v>83</v>
      </c>
      <c r="F1145" s="139" t="n">
        <v>113</v>
      </c>
      <c r="G1145" s="89" t="s">
        <v>30</v>
      </c>
      <c r="H1145" s="87" t="s">
        <v>57</v>
      </c>
      <c r="I1145" s="135" t="n">
        <v>0.31</v>
      </c>
      <c r="J1145" s="88" t="n">
        <v>38</v>
      </c>
      <c r="K1145" s="174" t="s">
        <v>50</v>
      </c>
      <c r="L1145" s="86" t="n">
        <v>9</v>
      </c>
      <c r="M1145" s="126" t="s">
        <v>35</v>
      </c>
      <c r="N1145" s="86" t="s">
        <v>32</v>
      </c>
      <c r="O1145" s="91" t="n">
        <v>43009</v>
      </c>
      <c r="P1145" s="92" t="n">
        <v>1398</v>
      </c>
      <c r="Q1145" s="69" t="n">
        <v>850</v>
      </c>
      <c r="R1145" s="93" t="str">
        <f aca="false">HYPERLINK("https://amzn.to/2K7LwMR","link*")</f>
        <v>link*</v>
      </c>
      <c r="S1145" s="93" t="str">
        <f aca="false">HYPERLINK("https://www.bhphotovideo.com/c/search?Ntt=sony%2024-105&amp;N=0&amp;InitialSearch=yes&amp;sts=ma&amp;Top+Nav-Search=&amp;BI=19619&amp;KBID=12129&amp;KWID=EZ","link*")</f>
        <v>link*</v>
      </c>
      <c r="T1145" s="93" t="str">
        <f aca="false">HYPERLINK("https://amzn.to/2Ld8hOS","link*")</f>
        <v>link*</v>
      </c>
      <c r="U1145" s="93"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1146" customFormat="false" ht="15.75" hidden="true" customHeight="false" outlineLevel="0" collapsed="false">
      <c r="A1146" s="24" t="str">
        <f aca="false">HYPERLINK("https://phillipreeve.net/blog/rolling-review-carl-zeiss-vario-tessar-t-fe-424-70-za/","Sony ZA 4/24-70 OSS")</f>
        <v>Sony ZA 4/24-70 OSS</v>
      </c>
      <c r="B1146" s="25" t="n">
        <v>426</v>
      </c>
      <c r="C1146" s="26" t="n">
        <v>24</v>
      </c>
      <c r="D1146" s="27" t="n">
        <v>4</v>
      </c>
      <c r="E1146" s="130" t="n">
        <v>73</v>
      </c>
      <c r="F1146" s="175" t="n">
        <v>95</v>
      </c>
      <c r="G1146" s="30" t="s">
        <v>30</v>
      </c>
      <c r="H1146" s="31" t="s">
        <v>54</v>
      </c>
      <c r="I1146" s="32" t="n">
        <v>0.2</v>
      </c>
      <c r="J1146" s="33" t="n">
        <v>40</v>
      </c>
      <c r="K1146" s="176" t="s">
        <v>50</v>
      </c>
      <c r="L1146" s="32" t="n">
        <v>7</v>
      </c>
      <c r="M1146" s="34" t="s">
        <v>38</v>
      </c>
      <c r="N1146" s="32" t="s">
        <v>32</v>
      </c>
      <c r="O1146" s="35" t="n">
        <v>41640</v>
      </c>
      <c r="P1146" s="36" t="n">
        <v>898</v>
      </c>
      <c r="Q1146" s="36" t="n">
        <v>420</v>
      </c>
      <c r="R1146" s="37" t="str">
        <f aca="false">HYPERLINK("http://amzn.to/2vlG2Yq","link*")</f>
        <v>link*</v>
      </c>
      <c r="S1146" s="37" t="str">
        <f aca="false">HYPERLINK("https://www.bhphotovideo.com/c/product/1008126-REG/sony_sel2470z_vario_tessar_t_fe_24_70mm.html/BI/19619/KBID/12129/DFF/d10-v21-t1-x466842/SID/EZ","link*")</f>
        <v>link*</v>
      </c>
      <c r="T1146" s="37" t="str">
        <f aca="false">HYPERLINK("http://amzn.to/2fl1XZk","link*")</f>
        <v>link*</v>
      </c>
      <c r="U1146" s="37"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V1146" s="38"/>
    </row>
    <row r="1147" customFormat="false" ht="15.75" hidden="true" customHeight="false" outlineLevel="0" collapsed="false">
      <c r="A1147" s="113" t="str">
        <f aca="false">HYPERLINK("https://phillipreeve.net/blog/review-zeiss-batis-distagon-t-25mm-f2/","Zeiss Batis 2/25")</f>
        <v>Zeiss Batis 2/25</v>
      </c>
      <c r="B1147" s="40" t="n">
        <v>335</v>
      </c>
      <c r="C1147" s="41" t="n">
        <v>25</v>
      </c>
      <c r="D1147" s="42" t="n">
        <v>2</v>
      </c>
      <c r="E1147" s="133" t="n">
        <v>92</v>
      </c>
      <c r="F1147" s="139" t="n">
        <v>78</v>
      </c>
      <c r="G1147" s="45" t="s">
        <v>30</v>
      </c>
      <c r="H1147" s="46" t="s">
        <v>54</v>
      </c>
      <c r="I1147" s="47" t="n">
        <v>0.19</v>
      </c>
      <c r="J1147" s="48" t="n">
        <v>20</v>
      </c>
      <c r="K1147" s="45" t="s">
        <v>26</v>
      </c>
      <c r="L1147" s="47" t="n">
        <v>9</v>
      </c>
      <c r="M1147" s="49" t="s">
        <v>93</v>
      </c>
      <c r="N1147" s="47" t="s">
        <v>59</v>
      </c>
      <c r="O1147" s="50" t="n">
        <v>42125</v>
      </c>
      <c r="P1147" s="51" t="n">
        <v>1299</v>
      </c>
      <c r="Q1147" s="51" t="n">
        <v>550</v>
      </c>
      <c r="R1147" s="52" t="str">
        <f aca="false">HYPERLINK("https://amzn.to/2ypHQiT","link*")</f>
        <v>link*</v>
      </c>
      <c r="S1147" s="52" t="str">
        <f aca="false">HYPERLINK("https://www.bhphotovideo.com/c/product/1140832-REG/zeiss_2103_750_25mm_f_2_0_batis_wide.html/BI/19619/KBID/12129/DFF/d10-v21-t1-x627141/SID/EZ","link*")</f>
        <v>link*</v>
      </c>
      <c r="T1147" s="52" t="str">
        <f aca="false">HYPERLINK("https://amzn.to/2L20DIj","link*")</f>
        <v>link*</v>
      </c>
      <c r="U1147" s="52"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1148" customFormat="false" ht="15.75" hidden="false" customHeight="false" outlineLevel="0" collapsed="false">
      <c r="A1148" s="24" t="str">
        <f aca="false">HYPERLINK("https://phillipreeve.net/blog/review-zeiss-loxia-2-4-25mm-distagon/","Zeiss Loxia 2.4/25")</f>
        <v>Zeiss Loxia 2.4/25</v>
      </c>
      <c r="B1148" s="25" t="n">
        <v>393</v>
      </c>
      <c r="C1148" s="26" t="n">
        <v>25</v>
      </c>
      <c r="D1148" s="27" t="n">
        <v>2.4</v>
      </c>
      <c r="E1148" s="130" t="n">
        <v>62</v>
      </c>
      <c r="F1148" s="175" t="n">
        <v>75</v>
      </c>
      <c r="G1148" s="30" t="s">
        <v>24</v>
      </c>
      <c r="H1148" s="31" t="s">
        <v>73</v>
      </c>
      <c r="I1148" s="32" t="n">
        <v>0.16</v>
      </c>
      <c r="J1148" s="33" t="n">
        <v>25</v>
      </c>
      <c r="K1148" s="30" t="s">
        <v>26</v>
      </c>
      <c r="L1148" s="32" t="n">
        <v>10</v>
      </c>
      <c r="M1148" s="34" t="s">
        <v>93</v>
      </c>
      <c r="N1148" s="32" t="s">
        <v>59</v>
      </c>
      <c r="O1148" s="35" t="n">
        <v>43160</v>
      </c>
      <c r="P1148" s="36" t="n">
        <v>1299</v>
      </c>
      <c r="Q1148" s="36" t="n">
        <v>700</v>
      </c>
      <c r="R1148" s="37" t="str">
        <f aca="false">HYPERLINK("https://amzn.to/2OlyeAf","link*")</f>
        <v>link*</v>
      </c>
      <c r="S1148" s="37" t="str">
        <f aca="false">HYPERLINK("https://www.bhphotovideo.com/c/product/1389169-REG/zeiss_000000_2218_783_loxia_25mm_f_2_4_lens.html/BI/19619/KBID/12129/kw/ZE2524L/DFF/d10-v2-t1-xZE2524L","link*")</f>
        <v>link*</v>
      </c>
      <c r="T1148" s="37" t="str">
        <f aca="false">HYPERLINK("https://amzn.to/2OlyeAf","link*")</f>
        <v>link*</v>
      </c>
      <c r="U1148" s="37"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V1148" s="38"/>
    </row>
    <row r="1149" customFormat="false" ht="15.75" hidden="true" customHeight="false" outlineLevel="0" collapsed="false">
      <c r="A1149" s="39" t="s">
        <v>94</v>
      </c>
      <c r="B1149" s="40" t="n">
        <v>965</v>
      </c>
      <c r="C1149" s="41" t="n">
        <v>28</v>
      </c>
      <c r="D1149" s="42" t="n">
        <v>1.4</v>
      </c>
      <c r="E1149" s="133" t="n">
        <v>83</v>
      </c>
      <c r="F1149" s="139" t="n">
        <v>134</v>
      </c>
      <c r="G1149" s="45" t="s">
        <v>30</v>
      </c>
      <c r="H1149" s="46" t="s">
        <v>57</v>
      </c>
      <c r="I1149" s="47" t="n">
        <v>0.19</v>
      </c>
      <c r="J1149" s="48" t="n">
        <v>28</v>
      </c>
      <c r="K1149" s="45" t="s">
        <v>26</v>
      </c>
      <c r="L1149" s="47" t="n">
        <v>9</v>
      </c>
      <c r="M1149" s="49" t="s">
        <v>91</v>
      </c>
      <c r="N1149" s="47" t="s">
        <v>43</v>
      </c>
      <c r="O1149" s="50" t="n">
        <v>43435</v>
      </c>
      <c r="P1149" s="51" t="n">
        <v>1399</v>
      </c>
      <c r="Q1149" s="51" t="n">
        <v>700</v>
      </c>
      <c r="R1149" s="52" t="str">
        <f aca="false">HYPERLINK("https://amzn.to/2Wn0pxO","link*")</f>
        <v>link*</v>
      </c>
      <c r="S1149" s="52" t="str">
        <f aca="false">HYPERLINK("https://www.bhphotovideo.com/c/product/1436285-REG/sigma_28mm_f_1_4_dg_hsm.html/BI/19619/KBID/12129/kw/SI2814DGSE/DFF/d10-v2-t1-xSI2814DGSE","link*")</f>
        <v>link*</v>
      </c>
      <c r="T1149" s="52" t="str">
        <f aca="false">HYPERLINK("https://amzn.to/2WzVkHd","link*")</f>
        <v>link*</v>
      </c>
      <c r="U1149" s="52"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1150" customFormat="false" ht="15.75" hidden="true" customHeight="false" outlineLevel="0" collapsed="false">
      <c r="A1150" s="128" t="str">
        <f aca="false">HYPERLINK("https://www.systemkamera-forum.de/blog/2015/05/sony-fe-28mm-f2-test-und-erfahrungsbericht/","Sony FE 2/28")</f>
        <v>Sony FE 2/28</v>
      </c>
      <c r="B1150" s="81" t="n">
        <v>200</v>
      </c>
      <c r="C1150" s="82" t="n">
        <v>28</v>
      </c>
      <c r="D1150" s="83" t="n">
        <v>2</v>
      </c>
      <c r="E1150" s="133" t="n">
        <v>60</v>
      </c>
      <c r="F1150" s="139" t="n">
        <v>60</v>
      </c>
      <c r="G1150" s="89" t="s">
        <v>30</v>
      </c>
      <c r="H1150" s="87" t="s">
        <v>80</v>
      </c>
      <c r="I1150" s="86" t="n">
        <v>0.13</v>
      </c>
      <c r="J1150" s="88" t="n">
        <v>29</v>
      </c>
      <c r="K1150" s="89" t="s">
        <v>26</v>
      </c>
      <c r="L1150" s="86" t="n">
        <v>9</v>
      </c>
      <c r="M1150" s="126" t="s">
        <v>61</v>
      </c>
      <c r="N1150" s="86" t="s">
        <v>32</v>
      </c>
      <c r="O1150" s="91" t="n">
        <v>42064</v>
      </c>
      <c r="P1150" s="145" t="n">
        <v>448</v>
      </c>
      <c r="Q1150" s="145" t="n">
        <v>240</v>
      </c>
      <c r="R1150" s="93" t="str">
        <f aca="false">HYPERLINK("https://amzn.to/2GXJWdo","link*")</f>
        <v>link*</v>
      </c>
      <c r="S1150" s="93" t="str">
        <f aca="false">HYPERLINK("https://www.bhphotovideo.com/c/product/1402637-REG/sony_fe_28mm_f_2_lens.html/BI/19619/KBID/12129/kw/SO2820F/DFF/d10-v2-t1-xSO2820F","link*")</f>
        <v>link*</v>
      </c>
      <c r="T1150" s="93" t="str">
        <f aca="false">HYPERLINK("http://amzn.to/2wyLOCO","link*")</f>
        <v>link*</v>
      </c>
      <c r="U1150" s="93"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1151" customFormat="false" ht="15.75" hidden="true" customHeight="false" outlineLevel="0" collapsed="false">
      <c r="A1151" s="128" t="str">
        <f aca="false">HYPERLINK("https://phillipreeve.net/blog/review-tamron-28-75mm-f-2-8-di-iii-rxd-sony-e-mount/","Tamron 2.8/28-75")</f>
        <v>Tamron 2.8/28-75</v>
      </c>
      <c r="B1151" s="81" t="n">
        <v>550</v>
      </c>
      <c r="C1151" s="82" t="n">
        <v>28</v>
      </c>
      <c r="D1151" s="83" t="n">
        <v>2.8</v>
      </c>
      <c r="E1151" s="133" t="n">
        <v>73</v>
      </c>
      <c r="F1151" s="139" t="n">
        <v>118</v>
      </c>
      <c r="G1151" s="89" t="s">
        <v>30</v>
      </c>
      <c r="H1151" s="87" t="s">
        <v>54</v>
      </c>
      <c r="I1151" s="135" t="n">
        <v>0.34</v>
      </c>
      <c r="J1151" s="88" t="n">
        <v>19</v>
      </c>
      <c r="K1151" s="89" t="s">
        <v>26</v>
      </c>
      <c r="L1151" s="86" t="n">
        <v>9</v>
      </c>
      <c r="M1151" s="126" t="s">
        <v>95</v>
      </c>
      <c r="N1151" s="86" t="s">
        <v>56</v>
      </c>
      <c r="O1151" s="91" t="n">
        <v>43252</v>
      </c>
      <c r="P1151" s="145" t="n">
        <v>879</v>
      </c>
      <c r="Q1151" s="92" t="n">
        <v>625</v>
      </c>
      <c r="R1151" s="93" t="str">
        <f aca="false">HYPERLINK("https://amzn.to/2ST5uxq","link*")</f>
        <v>link*</v>
      </c>
      <c r="S1151" s="93" t="str">
        <f aca="false">HYPERLINK("https://www.bhphotovideo.com/c/product/1393332-REG/tamron_a036_28_75mm_f_2_8_di_iii.html/BI/19619/KBID/12129/DFF/d10-v21-t1-x892059/SID/EZ","link*")</f>
        <v>link*</v>
      </c>
      <c r="T1151" s="93" t="str">
        <f aca="false">HYPERLINK("https://amzn.to/2ZmSzdU","link*")</f>
        <v>link*</v>
      </c>
      <c r="U1151" s="93"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1152" customFormat="false" ht="15.75" hidden="true" customHeight="false" outlineLevel="0" collapsed="false">
      <c r="A1152" s="177" t="s">
        <v>96</v>
      </c>
      <c r="B1152" s="178" t="n">
        <v>575</v>
      </c>
      <c r="C1152" s="179" t="n">
        <v>28</v>
      </c>
      <c r="D1152" s="180" t="n">
        <v>2.8</v>
      </c>
      <c r="E1152" s="181" t="n">
        <v>74</v>
      </c>
      <c r="F1152" s="182" t="n">
        <v>117</v>
      </c>
      <c r="G1152" s="183" t="s">
        <v>30</v>
      </c>
      <c r="H1152" s="184" t="s">
        <v>54</v>
      </c>
      <c r="I1152" s="185" t="n">
        <f aca="false">1/3.1</f>
        <v>0.3225806452</v>
      </c>
      <c r="J1152" s="186" t="n">
        <v>19</v>
      </c>
      <c r="K1152" s="183" t="s">
        <v>26</v>
      </c>
      <c r="L1152" s="184" t="n">
        <v>9</v>
      </c>
      <c r="M1152" s="187" t="s">
        <v>97</v>
      </c>
      <c r="N1152" s="188" t="s">
        <v>56</v>
      </c>
      <c r="O1152" s="189" t="n">
        <v>43983</v>
      </c>
      <c r="P1152" s="393" t="n">
        <v>729</v>
      </c>
      <c r="Q1152" s="190" t="s">
        <v>36</v>
      </c>
      <c r="R1152" s="191"/>
      <c r="S1152" s="191"/>
      <c r="T1152" s="191"/>
      <c r="U1152" s="93" t="str">
        <f aca="false">HYPERLINK("http://rover.ebay.com/rover/1/711-53200-19255-0/1?icep_ff3=9&amp;pub=5575076376&amp;toolid=10001&amp;campid=5338573609&amp;customid=&amp;icep_uq=tamron+28-200+sony&amp;icep_sellerId=&amp;icep_ex_kw=&amp;icep_sortBy=12&amp;icep_catId=3323&amp;icep_minPrice=&amp;icep_maxPrice=&amp;ipn=psmain&amp;icep_vectori"&amp;"d=229466&amp;kwid=902099&amp;mtid=824&amp;kw=lg","link*")</f>
        <v>link*</v>
      </c>
      <c r="V1152" s="192"/>
    </row>
    <row r="1153" customFormat="false" ht="15.75" hidden="true" customHeight="false" outlineLevel="0" collapsed="false">
      <c r="A1153" s="177" t="s">
        <v>98</v>
      </c>
      <c r="B1153" s="178" t="n">
        <v>470</v>
      </c>
      <c r="C1153" s="179" t="n">
        <v>28</v>
      </c>
      <c r="D1153" s="180" t="n">
        <v>2.8</v>
      </c>
      <c r="E1153" s="193" t="n">
        <v>72.2</v>
      </c>
      <c r="F1153" s="194" t="n">
        <v>101.5</v>
      </c>
      <c r="G1153" s="183" t="s">
        <v>30</v>
      </c>
      <c r="H1153" s="184" t="s">
        <v>54</v>
      </c>
      <c r="I1153" s="185" t="n">
        <f aca="false">1/3.3</f>
        <v>0.303030303</v>
      </c>
      <c r="J1153" s="186" t="n">
        <v>19</v>
      </c>
      <c r="K1153" s="183" t="s">
        <v>26</v>
      </c>
      <c r="L1153" s="184" t="n">
        <v>9</v>
      </c>
      <c r="M1153" s="187" t="s">
        <v>99</v>
      </c>
      <c r="N1153" s="188" t="s">
        <v>43</v>
      </c>
      <c r="O1153" s="189" t="n">
        <v>44268</v>
      </c>
      <c r="P1153" s="393" t="n">
        <v>899</v>
      </c>
      <c r="Q1153" s="190" t="s">
        <v>36</v>
      </c>
      <c r="R1153" s="191"/>
      <c r="S1153" s="191" t="s">
        <v>33</v>
      </c>
      <c r="T1153" s="191"/>
      <c r="U1153" s="94"/>
      <c r="V1153" s="192"/>
    </row>
    <row r="1154" customFormat="false" ht="15.75" hidden="true" customHeight="false" outlineLevel="0" collapsed="false">
      <c r="A1154" s="80" t="s">
        <v>102</v>
      </c>
      <c r="B1154" s="81" t="n">
        <v>295</v>
      </c>
      <c r="C1154" s="82" t="n">
        <v>28</v>
      </c>
      <c r="D1154" s="83" t="s">
        <v>103</v>
      </c>
      <c r="E1154" s="133" t="n">
        <v>73</v>
      </c>
      <c r="F1154" s="139" t="n">
        <v>83</v>
      </c>
      <c r="G1154" s="89" t="s">
        <v>30</v>
      </c>
      <c r="H1154" s="87" t="s">
        <v>78</v>
      </c>
      <c r="I1154" s="86" t="n">
        <v>0.19</v>
      </c>
      <c r="J1154" s="88" t="n">
        <v>30</v>
      </c>
      <c r="K1154" s="174" t="s">
        <v>50</v>
      </c>
      <c r="L1154" s="86" t="n">
        <v>7</v>
      </c>
      <c r="M1154" s="126" t="s">
        <v>61</v>
      </c>
      <c r="N1154" s="86" t="s">
        <v>32</v>
      </c>
      <c r="O1154" s="91" t="n">
        <v>41548</v>
      </c>
      <c r="P1154" s="92" t="n">
        <v>398</v>
      </c>
      <c r="Q1154" s="92" t="n">
        <v>110</v>
      </c>
      <c r="R1154" s="93" t="str">
        <f aca="false">HYPERLINK("https://www.amazon.com/gp/product/B00FYOFADE/ref=as_li_tl?ie=UTF8&amp;tag=wwwphillipree-20&amp;camp=1789&amp;creative=9325&amp;linkCode=as2&amp;creativeASIN=B00FYOFADE&amp;linkId=96720b245156eae53bb1a672d4453d3f","link*")</f>
        <v>link*</v>
      </c>
      <c r="S1154" s="93" t="str">
        <f aca="false">HYPERLINK("https://www.bhphotovideo.com/c/product/1015472-REG/sony_sel2870_fe_28_70mm_f_3_5_5_6_oss.html/BI/19619/KBID/12129/DFF/d10-v21-t1-x473993/SID/EZ","link*")</f>
        <v>link*</v>
      </c>
      <c r="T1154" s="93" t="str">
        <f aca="false">HYPERLINK("https://www.amazon.de/gp/product/B00HSHFPD0/ref=as_li_tl?ie=UTF8&amp;tag=wwwphillipree-21&amp;camp=1638&amp;creative=6742&amp;linkCode=as2&amp;creativeASIN=B00HSHFPD0&amp;linkId=6701f30673f8a4071232ca85e1953506","link*")</f>
        <v>link*</v>
      </c>
      <c r="U1154" s="93"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1155" customFormat="false" ht="15.75" hidden="true" customHeight="false" outlineLevel="0" collapsed="false">
      <c r="A1155" s="95" t="s">
        <v>104</v>
      </c>
      <c r="B1155" s="25" t="n">
        <v>1215</v>
      </c>
      <c r="C1155" s="26" t="n">
        <v>28</v>
      </c>
      <c r="D1155" s="27" t="n">
        <v>4</v>
      </c>
      <c r="E1155" s="130" t="n">
        <v>105</v>
      </c>
      <c r="F1155" s="175" t="n">
        <v>165</v>
      </c>
      <c r="G1155" s="30" t="s">
        <v>30</v>
      </c>
      <c r="H1155" s="195" t="s">
        <v>105</v>
      </c>
      <c r="I1155" s="32"/>
      <c r="J1155" s="33" t="n">
        <v>40</v>
      </c>
      <c r="K1155" s="176" t="s">
        <v>50</v>
      </c>
      <c r="L1155" s="32" t="n">
        <v>9</v>
      </c>
      <c r="M1155" s="34" t="s">
        <v>106</v>
      </c>
      <c r="N1155" s="32" t="s">
        <v>32</v>
      </c>
      <c r="O1155" s="35" t="n">
        <v>41883</v>
      </c>
      <c r="P1155" s="36" t="n">
        <v>2498</v>
      </c>
      <c r="Q1155" s="36" t="n">
        <v>1500</v>
      </c>
      <c r="R1155" s="37" t="str">
        <f aca="false">HYPERLINK("http://amzn.to/2v2kiy9","link*")</f>
        <v>link*</v>
      </c>
      <c r="S1155" s="37" t="str">
        <f aca="false">HYPERLINK("https://www.bhphotovideo.com/c/product/1082051-REG/sony_selp28135g_e_pz_28_135mm_f_4.html/BI/19619/KBID/12129/DFF/d10-v21-t1-x556056/SID/EZ","link*")</f>
        <v>link*</v>
      </c>
      <c r="T1155" s="37" t="str">
        <f aca="false">HYPERLINK("http://amzn.to/2wlpg9b","link*")</f>
        <v>link*</v>
      </c>
      <c r="U1155" s="37"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V1155" s="38" t="s">
        <v>107</v>
      </c>
    </row>
    <row r="1156" customFormat="false" ht="15.75" hidden="true" customHeight="false" outlineLevel="0" collapsed="false">
      <c r="A1156" s="54" t="s">
        <v>108</v>
      </c>
      <c r="B1156" s="55" t="n">
        <v>167</v>
      </c>
      <c r="C1156" s="56" t="n">
        <v>28</v>
      </c>
      <c r="D1156" s="57" t="s">
        <v>109</v>
      </c>
      <c r="E1156" s="196" t="n">
        <v>66</v>
      </c>
      <c r="F1156" s="197" t="n">
        <v>45</v>
      </c>
      <c r="G1156" s="60" t="s">
        <v>30</v>
      </c>
      <c r="H1156" s="198" t="s">
        <v>110</v>
      </c>
      <c r="I1156" s="62" t="n">
        <v>0.16</v>
      </c>
      <c r="J1156" s="63" t="n">
        <v>45</v>
      </c>
      <c r="K1156" s="199" t="s">
        <v>26</v>
      </c>
      <c r="L1156" s="62" t="n">
        <v>7</v>
      </c>
      <c r="M1156" s="64" t="s">
        <v>86</v>
      </c>
      <c r="N1156" s="62" t="s">
        <v>32</v>
      </c>
      <c r="O1156" s="200" t="n">
        <v>44119</v>
      </c>
      <c r="P1156" s="66" t="n">
        <v>499</v>
      </c>
      <c r="Q1156" s="66" t="s">
        <v>111</v>
      </c>
      <c r="R1156" s="68" t="s">
        <v>33</v>
      </c>
      <c r="S1156" s="68" t="s">
        <v>33</v>
      </c>
      <c r="T1156" s="68" t="s">
        <v>33</v>
      </c>
      <c r="U1156" s="118" t="s">
        <v>33</v>
      </c>
      <c r="V1156" s="69"/>
    </row>
    <row r="1157" customFormat="false" ht="15.75" hidden="true" customHeight="false" outlineLevel="0" collapsed="false">
      <c r="A1157" s="113" t="str">
        <f aca="false">HYPERLINK("https://phillipreeve.net/blog/review-sigma-35mm-1-2-art-dg-dn/","Sigma Art 1.2/35")</f>
        <v>Sigma Art 1.2/35</v>
      </c>
      <c r="B1157" s="40" t="n">
        <v>1090</v>
      </c>
      <c r="C1157" s="41" t="n">
        <v>35</v>
      </c>
      <c r="D1157" s="201" t="n">
        <v>1.2</v>
      </c>
      <c r="E1157" s="133" t="n">
        <v>88</v>
      </c>
      <c r="F1157" s="139" t="n">
        <v>136</v>
      </c>
      <c r="G1157" s="47" t="s">
        <v>30</v>
      </c>
      <c r="H1157" s="202" t="s">
        <v>52</v>
      </c>
      <c r="I1157" s="47" t="n">
        <v>0.19</v>
      </c>
      <c r="J1157" s="48" t="n">
        <v>30</v>
      </c>
      <c r="K1157" s="45" t="s">
        <v>26</v>
      </c>
      <c r="L1157" s="47" t="n">
        <v>11</v>
      </c>
      <c r="M1157" s="79" t="n">
        <v>43816</v>
      </c>
      <c r="N1157" s="47" t="s">
        <v>43</v>
      </c>
      <c r="O1157" s="50" t="n">
        <v>43647</v>
      </c>
      <c r="P1157" s="51" t="n">
        <v>1499</v>
      </c>
      <c r="Q1157" s="51" t="n">
        <v>1000</v>
      </c>
      <c r="R1157" s="52" t="str">
        <f aca="false">HYPERLINK("https://amzn.to/2LiHhxc","link*")</f>
        <v>link*</v>
      </c>
      <c r="S1157" s="52" t="str">
        <f aca="false">HYPERLINK("https://www.bhphotovideo.com/c/product/1492967-REG/sigma_341969_35mm_f_1_2_dg_dn.html/BI/19619/KBID/12129/DFF/d10-v21-t1-x976038/SID/EZ","link*")</f>
        <v>link*</v>
      </c>
      <c r="T1157" s="140"/>
      <c r="U1157" s="52"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1158" customFormat="false" ht="15.75" hidden="false" customHeight="false" outlineLevel="0" collapsed="false">
      <c r="A1158" s="39" t="s">
        <v>112</v>
      </c>
      <c r="B1158" s="40" t="n">
        <v>387</v>
      </c>
      <c r="C1158" s="41" t="n">
        <v>35</v>
      </c>
      <c r="D1158" s="42" t="n">
        <v>1.2</v>
      </c>
      <c r="E1158" s="133" t="n">
        <v>66.5</v>
      </c>
      <c r="F1158" s="139" t="n">
        <v>59.9</v>
      </c>
      <c r="G1158" s="47" t="s">
        <v>24</v>
      </c>
      <c r="H1158" s="46" t="s">
        <v>48</v>
      </c>
      <c r="I1158" s="47" t="n">
        <f aca="false">1/5.55</f>
        <v>0.1801801802</v>
      </c>
      <c r="J1158" s="48" t="n">
        <v>30</v>
      </c>
      <c r="K1158" s="45" t="s">
        <v>26</v>
      </c>
      <c r="L1158" s="47" t="n">
        <v>12</v>
      </c>
      <c r="M1158" s="79" t="n">
        <v>44021</v>
      </c>
      <c r="N1158" s="47" t="s">
        <v>28</v>
      </c>
      <c r="O1158" s="50" t="n">
        <v>43978</v>
      </c>
      <c r="P1158" s="51" t="n">
        <v>999</v>
      </c>
      <c r="Q1158" s="51" t="s">
        <v>36</v>
      </c>
      <c r="R1158" s="53" t="s">
        <v>33</v>
      </c>
      <c r="S1158" s="53" t="s">
        <v>33</v>
      </c>
      <c r="T1158" s="140" t="s">
        <v>33</v>
      </c>
      <c r="U1158" s="52" t="str">
        <f aca="false">HYPERLINK("http://rover.ebay.com/rover/1/711-53200-19255-0/1?icep_ff3=9&amp;pub=5575076376&amp;toolid=10001&amp;campid=5338573609&amp;customid=&amp;icep_uq=Voigtlander+Sony+35mm+1.2&amp;icep_sellerId=&amp;icep_ex_kw=&amp;icep_sortBy=12&amp;icep_catId=3323&amp;icep_minPrice=&amp;icep_maxPrice=&amp;ipn=psmain&amp;icep_"&amp;"vectorid=229466&amp;kwid=902099&amp;mtid=824&amp;kw=lg","link*")</f>
        <v>link*</v>
      </c>
    </row>
    <row r="1159" customFormat="false" ht="15.75" hidden="true" customHeight="false" outlineLevel="0" collapsed="false">
      <c r="A1159" s="39" t="s">
        <v>113</v>
      </c>
      <c r="B1159" s="40" t="n">
        <v>524</v>
      </c>
      <c r="C1159" s="41" t="n">
        <v>35</v>
      </c>
      <c r="D1159" s="42" t="n">
        <v>1.4</v>
      </c>
      <c r="E1159" s="133" t="n">
        <v>76</v>
      </c>
      <c r="F1159" s="139" t="n">
        <v>96</v>
      </c>
      <c r="G1159" s="47" t="s">
        <v>30</v>
      </c>
      <c r="H1159" s="46" t="s">
        <v>54</v>
      </c>
      <c r="I1159" s="47" t="n">
        <v>0.23</v>
      </c>
      <c r="J1159" s="48" t="n">
        <v>27</v>
      </c>
      <c r="K1159" s="45" t="s">
        <v>26</v>
      </c>
      <c r="L1159" s="47" t="n">
        <v>11</v>
      </c>
      <c r="M1159" s="79" t="n">
        <v>44483</v>
      </c>
      <c r="N1159" s="47" t="s">
        <v>32</v>
      </c>
      <c r="O1159" s="50" t="n">
        <v>44242</v>
      </c>
      <c r="P1159" s="51" t="n">
        <v>1399</v>
      </c>
      <c r="Q1159" s="51" t="s">
        <v>36</v>
      </c>
      <c r="R1159" s="53"/>
      <c r="S1159" s="53" t="s">
        <v>33</v>
      </c>
      <c r="T1159" s="140"/>
      <c r="U1159" s="140"/>
    </row>
    <row r="1160" customFormat="false" ht="15.75" hidden="true" customHeight="false" outlineLevel="0" collapsed="false">
      <c r="A1160" s="128" t="str">
        <f aca="false">HYPERLINK("https://phillipreeve.net/blog/review-sony-fe-35mm-1-4-za/","Sony ZA 1.4/35")</f>
        <v>Sony ZA 1.4/35</v>
      </c>
      <c r="B1160" s="81" t="n">
        <v>630</v>
      </c>
      <c r="C1160" s="82" t="n">
        <v>35</v>
      </c>
      <c r="D1160" s="83" t="n">
        <v>1.4</v>
      </c>
      <c r="E1160" s="133" t="n">
        <v>79</v>
      </c>
      <c r="F1160" s="139" t="n">
        <v>112</v>
      </c>
      <c r="G1160" s="86" t="s">
        <v>30</v>
      </c>
      <c r="H1160" s="87" t="s">
        <v>49</v>
      </c>
      <c r="I1160" s="86" t="n">
        <v>0.18</v>
      </c>
      <c r="J1160" s="88" t="n">
        <v>30</v>
      </c>
      <c r="K1160" s="89" t="s">
        <v>26</v>
      </c>
      <c r="L1160" s="86" t="n">
        <v>9</v>
      </c>
      <c r="M1160" s="122" t="n">
        <v>43689</v>
      </c>
      <c r="N1160" s="86" t="s">
        <v>32</v>
      </c>
      <c r="O1160" s="91" t="n">
        <v>42064</v>
      </c>
      <c r="P1160" s="92" t="n">
        <v>1599</v>
      </c>
      <c r="Q1160" s="92" t="n">
        <v>800</v>
      </c>
      <c r="R1160" s="93" t="str">
        <f aca="false">HYPERLINK("https://amzn.to/2LRSMOS","link*")</f>
        <v>link*</v>
      </c>
      <c r="S1160" s="93" t="str">
        <f aca="false">HYPERLINK("https://www.bhphotovideo.com/c/product/1126137-REG/sony_sel35f14z_distagon_t_fe_35mm.html/BI/19619/KBID/12129/DFF/d10-v21-t1-x612725/SID/EZ","link*")</f>
        <v>link*</v>
      </c>
      <c r="T1160" s="93" t="str">
        <f aca="false">HYPERLINK("https://amzn.to/2ZmfSnX","link*")</f>
        <v>link*</v>
      </c>
      <c r="U1160" s="93"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1161" customFormat="false" ht="15.75" hidden="true" customHeight="false" outlineLevel="0" collapsed="false">
      <c r="A1161" s="128" t="str">
        <f aca="false">HYPERLINK("https://phillipreeve.net/blog/review-samyang-af-35-1-4-fe/","Samyang 1.4/35")</f>
        <v>Samyang 1.4/35</v>
      </c>
      <c r="B1161" s="81" t="n">
        <v>645</v>
      </c>
      <c r="C1161" s="82" t="n">
        <v>35</v>
      </c>
      <c r="D1161" s="83" t="n">
        <v>1.4</v>
      </c>
      <c r="E1161" s="133" t="n">
        <v>76</v>
      </c>
      <c r="F1161" s="134" t="n">
        <v>115</v>
      </c>
      <c r="G1161" s="86" t="s">
        <v>30</v>
      </c>
      <c r="H1161" s="87" t="s">
        <v>54</v>
      </c>
      <c r="I1161" s="86" t="n">
        <v>0.17</v>
      </c>
      <c r="J1161" s="88" t="n">
        <v>30</v>
      </c>
      <c r="K1161" s="89" t="s">
        <v>26</v>
      </c>
      <c r="L1161" s="86" t="n">
        <v>9</v>
      </c>
      <c r="M1161" s="122" t="n">
        <v>43719</v>
      </c>
      <c r="N1161" s="86" t="s">
        <v>47</v>
      </c>
      <c r="O1161" s="91" t="n">
        <v>43009</v>
      </c>
      <c r="P1161" s="92" t="n">
        <v>599</v>
      </c>
      <c r="Q1161" s="92" t="n">
        <v>375</v>
      </c>
      <c r="R1161" s="93" t="str">
        <f aca="false">HYPERLINK("https://amzn.to/2K8DDXH","link*")</f>
        <v>link*</v>
      </c>
      <c r="S1161" s="93" t="str">
        <f aca="false">HYPERLINK("https://www.bhphotovideo.com/c/product/1373698-REG/samyang_syio3514_e_35mm_f1_4_auto_focus.html/BI/19619/KBID/12129/DFF/d10-v21-t1-x858016/SID/EZ","link*")</f>
        <v>link*</v>
      </c>
      <c r="T1161" s="93" t="str">
        <f aca="false">HYPERLINK("https://amzn.to/2Zhl3FI","link*")</f>
        <v>link*</v>
      </c>
      <c r="U1161" s="93"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row>
    <row r="1162" customFormat="false" ht="15.75" hidden="false" customHeight="false" outlineLevel="0" collapsed="false">
      <c r="A1162" s="128" t="str">
        <f aca="false">HYPERLINK("https://phillipreeve.net/blog/review-voigtlander-35mm-1-4-nokton-e-classic/","Voigtlander 35mm F1.4 Nokton Classic")</f>
        <v>Voigtlander 35mm F1.4 Nokton Classic</v>
      </c>
      <c r="B1162" s="81" t="n">
        <v>262</v>
      </c>
      <c r="C1162" s="82" t="n">
        <v>35</v>
      </c>
      <c r="D1162" s="83" t="n">
        <v>1.4</v>
      </c>
      <c r="E1162" s="133" t="n">
        <v>67</v>
      </c>
      <c r="F1162" s="134" t="n">
        <v>40</v>
      </c>
      <c r="G1162" s="86" t="s">
        <v>24</v>
      </c>
      <c r="H1162" s="87" t="s">
        <v>48</v>
      </c>
      <c r="I1162" s="86" t="n">
        <v>0.16</v>
      </c>
      <c r="J1162" s="88" t="n">
        <v>30</v>
      </c>
      <c r="K1162" s="89" t="s">
        <v>26</v>
      </c>
      <c r="L1162" s="86" t="n">
        <v>10</v>
      </c>
      <c r="M1162" s="122" t="n">
        <v>43624</v>
      </c>
      <c r="N1162" s="86" t="s">
        <v>28</v>
      </c>
      <c r="O1162" s="91" t="n">
        <v>43132</v>
      </c>
      <c r="P1162" s="92" t="n">
        <v>799</v>
      </c>
      <c r="Q1162" s="92" t="n">
        <v>450</v>
      </c>
      <c r="R1162" s="93" t="str">
        <f aca="false">HYPERLINK("https://amzn.to/2M1M8WH","link*")</f>
        <v>link*</v>
      </c>
      <c r="S1162" s="93" t="str">
        <f aca="false">HYPERLINK("https://www.bhphotovideo.com/c/product/1381712-REG/voigtlander_nokton_classic_35mm_f_1_4.html/BI/19619/KBID/12129/DFF/d10-v21-t1-x877353/SID/EZ","link*")</f>
        <v>link*</v>
      </c>
      <c r="T1162" s="93" t="str">
        <f aca="false">HYPERLINK("https://amzn.to/2ZswTZ3","link*")</f>
        <v>link*</v>
      </c>
      <c r="U1162" s="93"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1163" customFormat="false" ht="15.75" hidden="true" customHeight="false" outlineLevel="0" collapsed="false">
      <c r="A1163" s="128" t="str">
        <f aca="false">HYPERLINK("https://phillipreeve.net/blog/review-sigma-35mm-1-4-art/","Sigma Art 1.4/35")</f>
        <v>Sigma Art 1.4/35</v>
      </c>
      <c r="B1163" s="81" t="n">
        <v>740</v>
      </c>
      <c r="C1163" s="82" t="n">
        <v>35</v>
      </c>
      <c r="D1163" s="83" t="n">
        <v>1.4</v>
      </c>
      <c r="E1163" s="133" t="n">
        <v>77</v>
      </c>
      <c r="F1163" s="134" t="n">
        <v>121</v>
      </c>
      <c r="G1163" s="86" t="s">
        <v>30</v>
      </c>
      <c r="H1163" s="87" t="s">
        <v>54</v>
      </c>
      <c r="I1163" s="86" t="n">
        <v>0.19</v>
      </c>
      <c r="J1163" s="88" t="n">
        <v>30</v>
      </c>
      <c r="K1163" s="89" t="s">
        <v>26</v>
      </c>
      <c r="L1163" s="86" t="n">
        <v>9</v>
      </c>
      <c r="M1163" s="122" t="n">
        <v>43782</v>
      </c>
      <c r="N1163" s="86" t="s">
        <v>43</v>
      </c>
      <c r="O1163" s="91" t="n">
        <v>43221</v>
      </c>
      <c r="P1163" s="145" t="n">
        <v>899</v>
      </c>
      <c r="Q1163" s="145" t="n">
        <v>550</v>
      </c>
      <c r="R1163" s="93" t="str">
        <f aca="false">HYPERLINK("https://amzn.to/2LOaQcZ","link*")</f>
        <v>link*</v>
      </c>
      <c r="S1163" s="93" t="str">
        <f aca="false">HYPERLINK("https://www.bhphotovideo.com/c/product/1393492-REG/sigma_35mm_f_1_4_dg_hsm.html/BI/19619/KBID/12129/DFF/d10-v21-t1-x881157/SID/EZ","link*")</f>
        <v>link*</v>
      </c>
      <c r="T1163" s="93" t="str">
        <f aca="false">HYPERLINK("https://amzn.to/2ZrfakE","link*")</f>
        <v>link*</v>
      </c>
      <c r="U1163" s="93"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row>
    <row r="1164" customFormat="false" ht="15.75" hidden="true" customHeight="false" outlineLevel="0" collapsed="false">
      <c r="A1164" s="128" t="str">
        <f aca="false">HYPERLINK("https://phillipreeve.net/blog/review-sony-fe-35mm-f1-8/","Sony FE 1.8/35")</f>
        <v>Sony FE 1.8/35</v>
      </c>
      <c r="B1164" s="81" t="n">
        <v>280</v>
      </c>
      <c r="C1164" s="82" t="n">
        <v>35</v>
      </c>
      <c r="D1164" s="83" t="n">
        <v>1.8</v>
      </c>
      <c r="E1164" s="133" t="n">
        <v>66</v>
      </c>
      <c r="F1164" s="134" t="n">
        <v>73</v>
      </c>
      <c r="G1164" s="86" t="s">
        <v>30</v>
      </c>
      <c r="H1164" s="87" t="s">
        <v>78</v>
      </c>
      <c r="I1164" s="389" t="n">
        <v>0.24</v>
      </c>
      <c r="J1164" s="88" t="n">
        <v>22</v>
      </c>
      <c r="K1164" s="89" t="s">
        <v>26</v>
      </c>
      <c r="L1164" s="86" t="n">
        <v>9</v>
      </c>
      <c r="M1164" s="122" t="n">
        <v>43719</v>
      </c>
      <c r="N1164" s="86" t="s">
        <v>32</v>
      </c>
      <c r="O1164" s="91" t="n">
        <v>43647</v>
      </c>
      <c r="P1164" s="92" t="n">
        <v>749</v>
      </c>
      <c r="Q1164" s="92" t="n">
        <v>600</v>
      </c>
      <c r="R1164" s="93" t="str">
        <f aca="false">HYPERLINK("https://amzn.to/31HFLMg","link*")</f>
        <v>link*</v>
      </c>
      <c r="S1164" s="93" t="str">
        <f aca="false">HYPERLINK("https://www.bhphotovideo.com/c/product/1492866-REG/sony_sel35f18f_35mm_f_1_8_fe_lens.html/BI/19619/KBID/12129/DFF/d10-v21-t1-x975763/SID/EZ","link*")</f>
        <v>link*</v>
      </c>
      <c r="T1164" s="93" t="str">
        <f aca="false">HYPERLINK("https://amzn.to/2PiATLC","link*")</f>
        <v>link*</v>
      </c>
      <c r="U1164" s="93"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1165" customFormat="false" ht="15.75" hidden="true" customHeight="false" outlineLevel="0" collapsed="false">
      <c r="A1165" s="80" t="s">
        <v>116</v>
      </c>
      <c r="B1165" s="81" t="n">
        <v>210</v>
      </c>
      <c r="C1165" s="82" t="n">
        <v>35</v>
      </c>
      <c r="D1165" s="83" t="n">
        <v>1.8</v>
      </c>
      <c r="E1165" s="133" t="n">
        <v>65</v>
      </c>
      <c r="F1165" s="134" t="n">
        <v>62.5</v>
      </c>
      <c r="G1165" s="86" t="s">
        <v>30</v>
      </c>
      <c r="H1165" s="87" t="s">
        <v>48</v>
      </c>
      <c r="I1165" s="389" t="n">
        <v>0.17</v>
      </c>
      <c r="J1165" s="88" t="n">
        <v>29</v>
      </c>
      <c r="K1165" s="89" t="s">
        <v>26</v>
      </c>
      <c r="L1165" s="86" t="n">
        <v>9</v>
      </c>
      <c r="M1165" s="122" t="n">
        <v>44053</v>
      </c>
      <c r="N1165" s="86" t="s">
        <v>47</v>
      </c>
      <c r="O1165" s="91" t="n">
        <v>44105</v>
      </c>
      <c r="P1165" s="92" t="n">
        <v>399</v>
      </c>
      <c r="Q1165" s="92" t="s">
        <v>36</v>
      </c>
      <c r="R1165" s="137" t="s">
        <v>33</v>
      </c>
      <c r="S1165" s="137" t="s">
        <v>33</v>
      </c>
      <c r="T1165" s="137" t="s">
        <v>33</v>
      </c>
      <c r="U1165" s="94"/>
    </row>
    <row r="1166" customFormat="false" ht="15.75" hidden="false" customHeight="false" outlineLevel="0" collapsed="false">
      <c r="A1166" s="128" t="str">
        <f aca="false">HYPERLINK("https://phillipreeve.net/blog/review-zeiss-loxia-35mm-2-0/","Zeiss Loxia 2/35 Biogon T*")</f>
        <v>Zeiss Loxia 2/35 Biogon T*</v>
      </c>
      <c r="B1166" s="81" t="n">
        <v>340</v>
      </c>
      <c r="C1166" s="82" t="n">
        <v>35</v>
      </c>
      <c r="D1166" s="83" t="n">
        <v>2</v>
      </c>
      <c r="E1166" s="133" t="n">
        <v>62</v>
      </c>
      <c r="F1166" s="139" t="n">
        <v>66</v>
      </c>
      <c r="G1166" s="86" t="s">
        <v>24</v>
      </c>
      <c r="H1166" s="87" t="s">
        <v>73</v>
      </c>
      <c r="I1166" s="86" t="n">
        <v>0.17</v>
      </c>
      <c r="J1166" s="88" t="n">
        <v>30</v>
      </c>
      <c r="K1166" s="89" t="s">
        <v>26</v>
      </c>
      <c r="L1166" s="86" t="n">
        <v>10</v>
      </c>
      <c r="M1166" s="122" t="n">
        <v>43625</v>
      </c>
      <c r="N1166" s="86" t="s">
        <v>59</v>
      </c>
      <c r="O1166" s="91" t="n">
        <v>41974</v>
      </c>
      <c r="P1166" s="92" t="n">
        <v>1299</v>
      </c>
      <c r="Q1166" s="92" t="n">
        <v>490</v>
      </c>
      <c r="R1166" s="93" t="str">
        <f aca="false">HYPERLINK("https://amzn.to/2T2sJWe","link*")</f>
        <v>link*</v>
      </c>
      <c r="S1166" s="93" t="str">
        <f aca="false">HYPERLINK("https://www.bhphotovideo.com/c/product/1080388-REG/zeiss_2103_749_loxia_35mm_f_2_biogon.html/BI/19619/KBID/12129/DFF/d10-v21-t1-x553792/SID/EZ","link*")</f>
        <v>link*</v>
      </c>
      <c r="T1166" s="94"/>
      <c r="U1166" s="93"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row>
    <row r="1167" customFormat="false" ht="15.75" hidden="true" customHeight="false" outlineLevel="0" collapsed="false">
      <c r="A1167" s="392" t="s">
        <v>117</v>
      </c>
      <c r="B1167" s="161" t="n">
        <v>325</v>
      </c>
      <c r="C1167" s="162" t="n">
        <v>35</v>
      </c>
      <c r="D1167" s="163" t="n">
        <v>2</v>
      </c>
      <c r="E1167" s="164" t="n">
        <v>70</v>
      </c>
      <c r="F1167" s="165" t="s">
        <v>54</v>
      </c>
      <c r="G1167" s="166" t="s">
        <v>30</v>
      </c>
      <c r="H1167" s="167" t="s">
        <v>48</v>
      </c>
      <c r="I1167" s="168" t="n">
        <v>0.18</v>
      </c>
      <c r="J1167" s="169" t="s">
        <v>118</v>
      </c>
      <c r="K1167" s="170" t="s">
        <v>26</v>
      </c>
      <c r="L1167" s="167" t="n">
        <v>9</v>
      </c>
      <c r="M1167" s="171" t="n">
        <v>44084</v>
      </c>
      <c r="N1167" s="166" t="s">
        <v>43</v>
      </c>
      <c r="O1167" s="172" t="n">
        <v>44196</v>
      </c>
      <c r="P1167" s="173" t="n">
        <v>639</v>
      </c>
      <c r="Q1167" s="92"/>
      <c r="R1167" s="137" t="s">
        <v>33</v>
      </c>
      <c r="S1167" s="137" t="s">
        <v>33</v>
      </c>
      <c r="T1167" s="94"/>
      <c r="U1167" s="137" t="s">
        <v>33</v>
      </c>
      <c r="V1167" s="69"/>
    </row>
    <row r="1168" customFormat="false" ht="15.75" hidden="false" customHeight="false" outlineLevel="0" collapsed="false">
      <c r="A1168" s="80" t="s">
        <v>275</v>
      </c>
      <c r="B1168" s="81" t="n">
        <v>352</v>
      </c>
      <c r="C1168" s="82" t="n">
        <v>35</v>
      </c>
      <c r="D1168" s="83" t="n">
        <v>2</v>
      </c>
      <c r="E1168" s="133" t="n">
        <v>62.6</v>
      </c>
      <c r="F1168" s="139" t="n">
        <v>67.3</v>
      </c>
      <c r="G1168" s="86" t="s">
        <v>24</v>
      </c>
      <c r="H1168" s="87" t="s">
        <v>80</v>
      </c>
      <c r="I1168" s="86" t="n">
        <v>0.154</v>
      </c>
      <c r="J1168" s="88" t="n">
        <v>35</v>
      </c>
      <c r="K1168" s="89" t="s">
        <v>26</v>
      </c>
      <c r="L1168" s="86" t="n">
        <v>12</v>
      </c>
      <c r="M1168" s="122" t="n">
        <v>44450</v>
      </c>
      <c r="N1168" s="86" t="s">
        <v>28</v>
      </c>
      <c r="O1168" s="91" t="n">
        <v>44301</v>
      </c>
      <c r="P1168" s="92" t="s">
        <v>120</v>
      </c>
      <c r="Q1168" s="92" t="s">
        <v>36</v>
      </c>
      <c r="R1168" s="94"/>
      <c r="S1168" s="137"/>
      <c r="T1168" s="94"/>
      <c r="U1168" s="94"/>
      <c r="V1168" s="69"/>
    </row>
    <row r="1169" customFormat="false" ht="15.75" hidden="true" customHeight="false" outlineLevel="0" collapsed="false">
      <c r="A1169" s="204" t="s">
        <v>121</v>
      </c>
      <c r="B1169" s="81" t="n">
        <v>295</v>
      </c>
      <c r="C1169" s="82" t="n">
        <v>35</v>
      </c>
      <c r="D1169" s="83" t="n">
        <v>2</v>
      </c>
      <c r="E1169" s="133" t="n">
        <v>67</v>
      </c>
      <c r="F1169" s="139" t="n">
        <v>72</v>
      </c>
      <c r="G1169" s="86" t="s">
        <v>30</v>
      </c>
      <c r="H1169" s="87" t="s">
        <v>73</v>
      </c>
      <c r="I1169" s="86" t="n">
        <v>0.13</v>
      </c>
      <c r="J1169" s="88" t="n">
        <v>35</v>
      </c>
      <c r="K1169" s="89" t="s">
        <v>26</v>
      </c>
      <c r="L1169" s="86" t="n">
        <v>7</v>
      </c>
      <c r="M1169" s="122" t="n">
        <v>44417</v>
      </c>
      <c r="N1169" s="86" t="s">
        <v>122</v>
      </c>
      <c r="O1169" s="91" t="n">
        <v>44127</v>
      </c>
      <c r="P1169" s="92" t="n">
        <v>235</v>
      </c>
      <c r="Q1169" s="92" t="s">
        <v>36</v>
      </c>
      <c r="S1169" s="137" t="s">
        <v>33</v>
      </c>
      <c r="T1169" s="94"/>
      <c r="U1169" s="94"/>
      <c r="V1169" s="69"/>
    </row>
    <row r="1170" customFormat="false" ht="15.75" hidden="true" customHeight="false" outlineLevel="0" collapsed="false">
      <c r="A1170" s="128" t="str">
        <f aca="false">HYPERLINK("http://www.photozone.de/sonyalphaff/865-zeiss35f28ff","Sony ZA 2.8/35")</f>
        <v>Sony ZA 2.8/35</v>
      </c>
      <c r="B1170" s="81" t="n">
        <v>120</v>
      </c>
      <c r="C1170" s="82" t="n">
        <v>35</v>
      </c>
      <c r="D1170" s="83" t="n">
        <v>2.8</v>
      </c>
      <c r="E1170" s="133" t="n">
        <v>62</v>
      </c>
      <c r="F1170" s="139" t="n">
        <v>37</v>
      </c>
      <c r="G1170" s="86" t="s">
        <v>30</v>
      </c>
      <c r="H1170" s="87" t="s">
        <v>80</v>
      </c>
      <c r="I1170" s="86" t="n">
        <v>0.12</v>
      </c>
      <c r="J1170" s="88" t="n">
        <v>35</v>
      </c>
      <c r="K1170" s="89" t="s">
        <v>26</v>
      </c>
      <c r="L1170" s="86" t="n">
        <v>9</v>
      </c>
      <c r="M1170" s="122" t="n">
        <v>43592</v>
      </c>
      <c r="N1170" s="86" t="s">
        <v>32</v>
      </c>
      <c r="O1170" s="91" t="n">
        <v>41487</v>
      </c>
      <c r="P1170" s="92" t="n">
        <v>798</v>
      </c>
      <c r="Q1170" s="92" t="n">
        <v>325</v>
      </c>
      <c r="R1170" s="93" t="str">
        <f aca="false">HYPERLINK("https://amzn.to/2yvhL24","link*")</f>
        <v>link*</v>
      </c>
      <c r="S1170" s="93" t="str">
        <f aca="false">HYPERLINK("https://www.bhphotovideo.com/c/product/1008123-REG/sony_sel35f28z_sonnar_t_fe_35mm.html/BI/19619/KBID/12129/DFF/d10-v21-t1-x466840/SID/EZ","link*")</f>
        <v>link*</v>
      </c>
      <c r="T1170" s="137" t="s">
        <v>33</v>
      </c>
      <c r="U1170" s="93"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1171" customFormat="false" ht="15.75" hidden="true" customHeight="false" outlineLevel="0" collapsed="false">
      <c r="A1171" s="205" t="str">
        <f aca="false">HYPERLINK("https://phillipreeve.net/blog/review-tamron-35mm-f-2-8-di-iii-osd-m12/","Tamron 35mm f/2.8 Di III OSD M1:2")</f>
        <v>Tamron 35mm f/2.8 Di III OSD M1:2</v>
      </c>
      <c r="B1171" s="206" t="n">
        <v>210</v>
      </c>
      <c r="C1171" s="179" t="n">
        <v>35</v>
      </c>
      <c r="D1171" s="180" t="n">
        <v>2.8</v>
      </c>
      <c r="E1171" s="207" t="n">
        <v>73</v>
      </c>
      <c r="F1171" s="208" t="n">
        <v>64</v>
      </c>
      <c r="G1171" s="183" t="s">
        <v>30</v>
      </c>
      <c r="H1171" s="184" t="s">
        <v>54</v>
      </c>
      <c r="I1171" s="209" t="n">
        <v>0.5</v>
      </c>
      <c r="J1171" s="210" t="n">
        <v>15</v>
      </c>
      <c r="K1171" s="183" t="s">
        <v>26</v>
      </c>
      <c r="L1171" s="184" t="n">
        <v>7</v>
      </c>
      <c r="M1171" s="187" t="s">
        <v>61</v>
      </c>
      <c r="N1171" s="188" t="s">
        <v>56</v>
      </c>
      <c r="O1171" s="91" t="n">
        <v>43796</v>
      </c>
      <c r="P1171" s="211" t="n">
        <v>349</v>
      </c>
      <c r="Q1171" s="212" t="n">
        <v>225</v>
      </c>
      <c r="R1171" s="93" t="str">
        <f aca="false">HYPERLINK("https://amzn.to/2LUF8sR","link*")</f>
        <v>link*</v>
      </c>
      <c r="S1171" s="93" t="str">
        <f aca="false">HYPERLINK("https://www.bhphotovideo.com/c/product/1512043-REG/tamron_f035_35mm_f_2_8_di_iii.html/BI/19619/KBID/12129/DFF/d10-v21-t1-x994972/SID/EZ","link*")</f>
        <v>link*</v>
      </c>
      <c r="T1171" s="93" t="str">
        <f aca="false">HYPERLINK("https://amzn.to/36BcBQO","link*")</f>
        <v>link*</v>
      </c>
      <c r="U1171" s="93" t="str">
        <f aca="false">HYPERLINK("http://rover.ebay.com/rover/1/711-53200-19255-0/1?icep_ff3=9&amp;pub=5575076376&amp;toolid=10001&amp;campid=5338573609&amp;customid=&amp;icep_uq=tamron+35+2.8+osd+&amp;icep_sellerId=&amp;icep_ex_kw=&amp;icep_sortBy=12&amp;icep_catId=3323&amp;icep_minPrice=&amp;icep_maxPrice=&amp;ipn=psmain&amp;icep_vectori"&amp;"d=229466&amp;kwid=902099&amp;mtid=824&amp;kw=lg","link*")</f>
        <v>link*</v>
      </c>
    </row>
    <row r="1172" customFormat="false" ht="15.75" hidden="true" customHeight="false" outlineLevel="0" collapsed="false">
      <c r="A1172" s="95" t="s">
        <v>125</v>
      </c>
      <c r="B1172" s="25" t="n">
        <v>86</v>
      </c>
      <c r="C1172" s="26" t="n">
        <v>35</v>
      </c>
      <c r="D1172" s="27" t="n">
        <v>2.8</v>
      </c>
      <c r="E1172" s="130" t="n">
        <v>62</v>
      </c>
      <c r="F1172" s="175" t="n">
        <v>33</v>
      </c>
      <c r="G1172" s="32" t="s">
        <v>30</v>
      </c>
      <c r="H1172" s="31" t="s">
        <v>80</v>
      </c>
      <c r="I1172" s="32" t="n">
        <v>0.12</v>
      </c>
      <c r="J1172" s="33" t="n">
        <v>35</v>
      </c>
      <c r="K1172" s="30" t="s">
        <v>26</v>
      </c>
      <c r="L1172" s="32" t="n">
        <v>9</v>
      </c>
      <c r="M1172" s="98" t="n">
        <v>43623</v>
      </c>
      <c r="N1172" s="32" t="s">
        <v>47</v>
      </c>
      <c r="O1172" s="35" t="n">
        <v>42917</v>
      </c>
      <c r="P1172" s="213" t="n">
        <v>399</v>
      </c>
      <c r="Q1172" s="213" t="n">
        <v>210</v>
      </c>
      <c r="R1172" s="37" t="str">
        <f aca="false">HYPERLINK("https://amzn.to/2MGKrxp","link*")</f>
        <v>link*</v>
      </c>
      <c r="S1172" s="37" t="str">
        <f aca="false">HYPERLINK("https://www.bhphotovideo.com/c/product/1348365-REG/samyang_syio35af_e_35mm_f2_8_compact_wide.html/BI/19619/KBID/12129/DFF/d10-v21-t1-x832776/SID/EZ","link*")</f>
        <v>link*</v>
      </c>
      <c r="T1172" s="37" t="str">
        <f aca="false">HYPERLINK("https://amzn.to/2rM4SRk","link*")</f>
        <v>link*</v>
      </c>
      <c r="U1172" s="37"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V1172" s="38"/>
    </row>
    <row r="1173" customFormat="false" ht="15.75" hidden="false" customHeight="false" outlineLevel="0" collapsed="false">
      <c r="A1173" s="113" t="str">
        <f aca="false">HYPERLINK("https://phillipreeve.net/blog/voigtlander-40mm-f1-2-nokton-aspherical-rolling-review/","Voigtlander 40mm F1.2 Nokton Aspherical")</f>
        <v>Voigtlander 40mm F1.2 Nokton Aspherical</v>
      </c>
      <c r="B1173" s="40" t="n">
        <v>420</v>
      </c>
      <c r="C1173" s="41" t="n">
        <v>40</v>
      </c>
      <c r="D1173" s="214" t="n">
        <v>1.2</v>
      </c>
      <c r="E1173" s="133" t="n">
        <v>70</v>
      </c>
      <c r="F1173" s="139" t="n">
        <v>59</v>
      </c>
      <c r="G1173" s="47" t="s">
        <v>24</v>
      </c>
      <c r="H1173" s="46" t="s">
        <v>48</v>
      </c>
      <c r="I1173" s="47" t="n">
        <v>0.16</v>
      </c>
      <c r="J1173" s="48" t="n">
        <v>35</v>
      </c>
      <c r="K1173" s="45" t="s">
        <v>26</v>
      </c>
      <c r="L1173" s="47" t="n">
        <v>10</v>
      </c>
      <c r="M1173" s="79" t="n">
        <v>43624</v>
      </c>
      <c r="N1173" s="47" t="s">
        <v>28</v>
      </c>
      <c r="O1173" s="50" t="n">
        <v>43040</v>
      </c>
      <c r="P1173" s="51" t="n">
        <v>1099</v>
      </c>
      <c r="Q1173" s="51" t="n">
        <v>600</v>
      </c>
      <c r="R1173" s="52" t="str">
        <f aca="false">HYPERLINK("https://amzn.to/2A412DK","link*")</f>
        <v>link*</v>
      </c>
      <c r="S1173" s="52" t="str">
        <f aca="false">HYPERLINK("https://www.bhphotovideo.com/c/product/1362557-REG/voigtlander_nokton_40mm_f_1_2_aspherical.html/BI/19619/KBID/12129/DFF/d10-v21-t1-x851241/SID/EZ","link*")</f>
        <v>link*</v>
      </c>
      <c r="T1173" s="140"/>
      <c r="U1173" s="52"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1174" customFormat="false" ht="15.75" hidden="false" customHeight="false" outlineLevel="0" collapsed="false">
      <c r="A1174" s="39" t="s">
        <v>126</v>
      </c>
      <c r="B1174" s="40" t="n">
        <v>340</v>
      </c>
      <c r="C1174" s="41" t="n">
        <v>40</v>
      </c>
      <c r="D1174" s="214" t="n">
        <v>1.2</v>
      </c>
      <c r="E1174" s="133" t="n">
        <v>66.5</v>
      </c>
      <c r="F1174" s="139" t="n">
        <v>51.9</v>
      </c>
      <c r="G1174" s="47" t="s">
        <v>24</v>
      </c>
      <c r="H1174" s="46" t="s">
        <v>48</v>
      </c>
      <c r="I1174" s="47" t="n">
        <v>0.16</v>
      </c>
      <c r="J1174" s="48" t="n">
        <v>35</v>
      </c>
      <c r="K1174" s="45" t="s">
        <v>26</v>
      </c>
      <c r="L1174" s="47" t="n">
        <v>10</v>
      </c>
      <c r="M1174" s="79" t="n">
        <v>43624</v>
      </c>
      <c r="N1174" s="47" t="s">
        <v>28</v>
      </c>
      <c r="O1174" s="50" t="n">
        <v>44006</v>
      </c>
      <c r="P1174" s="51" t="n">
        <v>1099</v>
      </c>
      <c r="Q1174" s="51" t="s">
        <v>36</v>
      </c>
      <c r="R1174" s="53" t="s">
        <v>33</v>
      </c>
      <c r="S1174" s="140"/>
      <c r="T1174" s="140"/>
      <c r="U1174" s="52"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c r="V1174" s="69" t="s">
        <v>127</v>
      </c>
    </row>
    <row r="1175" customFormat="false" ht="15.75" hidden="true" customHeight="false" outlineLevel="0" collapsed="false">
      <c r="A1175" s="128" t="str">
        <f aca="false">HYPERLINK("https://phillipreeve.net/blog/review-sigma-40mm-1-4-art/","Sigma Art 1.4/40")</f>
        <v>Sigma Art 1.4/40</v>
      </c>
      <c r="B1175" s="81" t="n">
        <v>1265</v>
      </c>
      <c r="C1175" s="82" t="n">
        <v>40</v>
      </c>
      <c r="D1175" s="83" t="n">
        <v>1.4</v>
      </c>
      <c r="E1175" s="133" t="n">
        <v>88</v>
      </c>
      <c r="F1175" s="134" t="n">
        <v>157</v>
      </c>
      <c r="G1175" s="86" t="s">
        <v>30</v>
      </c>
      <c r="H1175" s="215" t="s">
        <v>52</v>
      </c>
      <c r="I1175" s="86" t="n">
        <v>0.15</v>
      </c>
      <c r="J1175" s="88" t="n">
        <v>40</v>
      </c>
      <c r="K1175" s="89" t="s">
        <v>26</v>
      </c>
      <c r="L1175" s="86" t="n">
        <v>9</v>
      </c>
      <c r="M1175" s="122" t="n">
        <v>43815</v>
      </c>
      <c r="N1175" s="86" t="s">
        <v>43</v>
      </c>
      <c r="O1175" s="91" t="n">
        <v>43435</v>
      </c>
      <c r="P1175" s="92" t="n">
        <v>1399</v>
      </c>
      <c r="Q1175" s="92" t="n">
        <v>800</v>
      </c>
      <c r="R1175" s="93" t="str">
        <f aca="false">HYPERLINK("https://amzn.to/2SYXFXq","link*")</f>
        <v>link*</v>
      </c>
      <c r="S1175" s="93" t="str">
        <f aca="false">HYPERLINK("https://www.bhphotovideo.com/c/product/1436292-REG/sigma_40mm_f_1_4_dg_hsm.html/BI/19619/KBID/12129/DFF/d10-v21-t1-x925196/SID/EZ","link*")</f>
        <v>link*</v>
      </c>
      <c r="T1175" s="137" t="s">
        <v>33</v>
      </c>
      <c r="U1175" s="93"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row>
    <row r="1176" customFormat="false" ht="15.75" hidden="true" customHeight="false" outlineLevel="0" collapsed="false">
      <c r="A1176" s="216" t="s">
        <v>128</v>
      </c>
      <c r="B1176" s="217" t="n">
        <v>173</v>
      </c>
      <c r="C1176" s="218" t="n">
        <v>40</v>
      </c>
      <c r="D1176" s="219" t="n">
        <v>2.5</v>
      </c>
      <c r="E1176" s="220" t="n">
        <v>68</v>
      </c>
      <c r="F1176" s="221" t="n">
        <v>45</v>
      </c>
      <c r="G1176" s="222" t="s">
        <v>30</v>
      </c>
      <c r="H1176" s="223" t="s">
        <v>80</v>
      </c>
      <c r="I1176" s="224" t="n">
        <v>0.2</v>
      </c>
      <c r="J1176" s="225" t="n">
        <v>28</v>
      </c>
      <c r="K1176" s="226" t="s">
        <v>26</v>
      </c>
      <c r="L1176" s="224" t="n">
        <v>9</v>
      </c>
      <c r="M1176" s="227" t="n">
        <v>44448</v>
      </c>
      <c r="N1176" s="156" t="s">
        <v>32</v>
      </c>
      <c r="O1176" s="158" t="n">
        <v>44329</v>
      </c>
      <c r="P1176" s="228" t="n">
        <v>599</v>
      </c>
      <c r="Q1176" s="136"/>
      <c r="R1176" s="229"/>
      <c r="S1176" s="229"/>
      <c r="T1176" s="230"/>
      <c r="U1176" s="229"/>
    </row>
    <row r="1177" customFormat="false" ht="15.75" hidden="true" customHeight="false" outlineLevel="0" collapsed="false">
      <c r="A1177" s="24" t="str">
        <f aca="false">HYPERLINK("https://phillipreeve.net/blog/review-zeiss-batis-2-40-cf/","Zeiss Batis 2/40 CF T*")</f>
        <v>Zeiss Batis 2/40 CF T*</v>
      </c>
      <c r="B1177" s="25" t="n">
        <v>361</v>
      </c>
      <c r="C1177" s="26" t="n">
        <v>40</v>
      </c>
      <c r="D1177" s="27" t="n">
        <v>2</v>
      </c>
      <c r="E1177" s="130" t="n">
        <v>91</v>
      </c>
      <c r="F1177" s="131" t="n">
        <v>93</v>
      </c>
      <c r="G1177" s="32" t="s">
        <v>30</v>
      </c>
      <c r="H1177" s="31" t="s">
        <v>54</v>
      </c>
      <c r="I1177" s="231" t="n">
        <v>0.3</v>
      </c>
      <c r="J1177" s="33" t="n">
        <v>24</v>
      </c>
      <c r="K1177" s="30" t="s">
        <v>26</v>
      </c>
      <c r="L1177" s="32" t="n">
        <v>9</v>
      </c>
      <c r="M1177" s="98" t="n">
        <v>43686</v>
      </c>
      <c r="N1177" s="32" t="s">
        <v>59</v>
      </c>
      <c r="O1177" s="35" t="n">
        <v>43435</v>
      </c>
      <c r="P1177" s="36" t="n">
        <v>1299</v>
      </c>
      <c r="Q1177" s="36" t="n">
        <v>870</v>
      </c>
      <c r="R1177" s="37" t="str">
        <f aca="false">HYPERLINK("https://amzn.to/2LUN0MF","link*")</f>
        <v>link*</v>
      </c>
      <c r="S1177" s="37" t="str">
        <f aca="false">HYPERLINK("https://www.bhphotovideo.com/c/product/1436738-REG/zeiss_000000_2239_137_batis_40mm_f_2_cf.html/BI/19619/KBID/12129/DFF/d10-v21-t1-x915694/SID/EZ","link*")</f>
        <v>link*</v>
      </c>
      <c r="T1177" s="118" t="s">
        <v>33</v>
      </c>
      <c r="U1177" s="37"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V1177" s="38"/>
    </row>
    <row r="1178" customFormat="false" ht="15.75" hidden="true" customHeight="false" outlineLevel="0" collapsed="false">
      <c r="A1178" s="39" t="s">
        <v>129</v>
      </c>
      <c r="B1178" s="40" t="n">
        <v>162</v>
      </c>
      <c r="C1178" s="41" t="n">
        <v>45</v>
      </c>
      <c r="D1178" s="42" t="n">
        <v>1.8</v>
      </c>
      <c r="E1178" s="133" t="n">
        <v>62</v>
      </c>
      <c r="F1178" s="134" t="n">
        <v>56</v>
      </c>
      <c r="G1178" s="47" t="s">
        <v>30</v>
      </c>
      <c r="H1178" s="46" t="s">
        <v>80</v>
      </c>
      <c r="I1178" s="47" t="n">
        <v>0.12</v>
      </c>
      <c r="J1178" s="48" t="n">
        <v>45</v>
      </c>
      <c r="K1178" s="45" t="s">
        <v>26</v>
      </c>
      <c r="L1178" s="47" t="n">
        <v>9</v>
      </c>
      <c r="M1178" s="79" t="n">
        <v>43623</v>
      </c>
      <c r="N1178" s="47" t="s">
        <v>47</v>
      </c>
      <c r="O1178" s="50" t="n">
        <v>43647</v>
      </c>
      <c r="P1178" s="232" t="n">
        <v>399</v>
      </c>
      <c r="Q1178" s="232" t="n">
        <v>250</v>
      </c>
      <c r="R1178" s="52" t="str">
        <f aca="false">HYPERLINK("https://amzn.to/2YC6MST","link*")</f>
        <v>link*</v>
      </c>
      <c r="S1178" s="52" t="str">
        <f aca="false">HYPERLINK("https://www.bhphotovideo.com/c/product/1478738-REG/samyang_af_45mm_f_1_8_fe.html/BI/19619/KBID/12129/DFF/d10-v21-t1-x964329/SID/EZ","link*")</f>
        <v>link*</v>
      </c>
      <c r="T1178" s="140" t="s">
        <v>33</v>
      </c>
      <c r="U1178" s="52"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1179" customFormat="false" ht="15.75" hidden="true" customHeight="false" outlineLevel="0" collapsed="false">
      <c r="A1179" s="95" t="s">
        <v>130</v>
      </c>
      <c r="B1179" s="25" t="n">
        <v>215</v>
      </c>
      <c r="C1179" s="26" t="n">
        <v>45</v>
      </c>
      <c r="D1179" s="27" t="n">
        <v>2.8</v>
      </c>
      <c r="E1179" s="130" t="n">
        <v>64</v>
      </c>
      <c r="F1179" s="175" t="n">
        <v>46</v>
      </c>
      <c r="G1179" s="32" t="s">
        <v>30</v>
      </c>
      <c r="H1179" s="31" t="s">
        <v>78</v>
      </c>
      <c r="I1179" s="233" t="n">
        <v>0.25</v>
      </c>
      <c r="J1179" s="33" t="n">
        <v>24</v>
      </c>
      <c r="K1179" s="30" t="s">
        <v>26</v>
      </c>
      <c r="L1179" s="32" t="n">
        <v>7</v>
      </c>
      <c r="M1179" s="98" t="n">
        <v>43654</v>
      </c>
      <c r="N1179" s="32" t="s">
        <v>43</v>
      </c>
      <c r="O1179" s="35" t="n">
        <v>43647</v>
      </c>
      <c r="P1179" s="36" t="n">
        <v>549</v>
      </c>
      <c r="Q1179" s="36" t="s">
        <v>36</v>
      </c>
      <c r="R1179" s="37" t="str">
        <f aca="false">HYPERLINK("https://amzn.to/2SYEvAX","link*")</f>
        <v>link*</v>
      </c>
      <c r="S1179" s="37" t="str">
        <f aca="false">HYPERLINK("https://www.bhphotovideo.com/c/product/1492966-REG/sigma_360965_45mm_f_2_8_dg_dn.html/BI/19619/KBID/12129/DFF/d10-v21-t1-x976020/SID/EZ","link*")</f>
        <v>link*</v>
      </c>
      <c r="T1179" s="71" t="s">
        <v>33</v>
      </c>
      <c r="U1179" s="37"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V1179" s="38"/>
    </row>
    <row r="1180" customFormat="false" ht="15.75" hidden="true" customHeight="false" outlineLevel="0" collapsed="false">
      <c r="A1180" s="54" t="s">
        <v>131</v>
      </c>
      <c r="B1180" s="55" t="n">
        <v>778</v>
      </c>
      <c r="C1180" s="56" t="n">
        <v>50</v>
      </c>
      <c r="D1180" s="234" t="n">
        <v>1.2</v>
      </c>
      <c r="E1180" s="196" t="n">
        <v>87</v>
      </c>
      <c r="F1180" s="197" t="n">
        <v>108</v>
      </c>
      <c r="G1180" s="62" t="s">
        <v>30</v>
      </c>
      <c r="H1180" s="61" t="s">
        <v>49</v>
      </c>
      <c r="I1180" s="62" t="n">
        <v>0.17</v>
      </c>
      <c r="J1180" s="63" t="n">
        <v>40</v>
      </c>
      <c r="K1180" s="60" t="s">
        <v>26</v>
      </c>
      <c r="L1180" s="62" t="n">
        <v>11</v>
      </c>
      <c r="M1180" s="75" t="n">
        <v>44483</v>
      </c>
      <c r="N1180" s="62" t="s">
        <v>32</v>
      </c>
      <c r="O1180" s="35" t="n">
        <v>44287</v>
      </c>
      <c r="P1180" s="66" t="n">
        <v>1999</v>
      </c>
      <c r="Q1180" s="66" t="s">
        <v>36</v>
      </c>
      <c r="R1180" s="67"/>
      <c r="S1180" s="68" t="s">
        <v>33</v>
      </c>
      <c r="T1180" s="67"/>
      <c r="U1180" s="67"/>
    </row>
    <row r="1181" customFormat="false" ht="15.75" hidden="false" customHeight="false" outlineLevel="0" collapsed="false">
      <c r="A1181" s="113" t="str">
        <f aca="false">HYPERLINK("https://phillipreeve.net/blog/review-voigtlander-50mm-1-2-nokton-e/","Voigtlander 50mm F1.2 Nokton")</f>
        <v>Voigtlander 50mm F1.2 Nokton</v>
      </c>
      <c r="B1181" s="40" t="n">
        <v>440</v>
      </c>
      <c r="C1181" s="41" t="n">
        <v>50</v>
      </c>
      <c r="D1181" s="214" t="n">
        <v>1.2</v>
      </c>
      <c r="E1181" s="133" t="n">
        <v>70</v>
      </c>
      <c r="F1181" s="139" t="n">
        <v>58</v>
      </c>
      <c r="G1181" s="47" t="s">
        <v>24</v>
      </c>
      <c r="H1181" s="46" t="s">
        <v>48</v>
      </c>
      <c r="I1181" s="47" t="n">
        <v>0.15</v>
      </c>
      <c r="J1181" s="48" t="n">
        <v>45</v>
      </c>
      <c r="K1181" s="45" t="s">
        <v>26</v>
      </c>
      <c r="L1181" s="47" t="n">
        <v>12</v>
      </c>
      <c r="M1181" s="79" t="n">
        <v>43624</v>
      </c>
      <c r="N1181" s="47" t="s">
        <v>28</v>
      </c>
      <c r="O1181" s="50" t="n">
        <v>43556</v>
      </c>
      <c r="P1181" s="51" t="n">
        <v>1099</v>
      </c>
      <c r="Q1181" s="51" t="s">
        <v>36</v>
      </c>
      <c r="R1181" s="52" t="str">
        <f aca="false">HYPERLINK("https://amzn.to/2OAfE7N","link*")</f>
        <v>link*</v>
      </c>
      <c r="S1181" s="52" t="str">
        <f aca="false">HYPERLINK("https://www.bhphotovideo.com/c/product/1433349-REG/voigtlander_ba348a_nokton_50mm_f_1_2_aspherical.html/BI/19619/KBID/12129/DFF/d10-v21-t1-x915623/SID/EZ","link*")</f>
        <v>link*</v>
      </c>
      <c r="T1181" s="140" t="s">
        <v>33</v>
      </c>
      <c r="U1181" s="52"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1182" customFormat="false" ht="15.75" hidden="true" customHeight="false" outlineLevel="0" collapsed="false">
      <c r="A1182" s="80" t="s">
        <v>132</v>
      </c>
      <c r="B1182" s="81" t="n">
        <v>778</v>
      </c>
      <c r="C1182" s="82" t="n">
        <v>50</v>
      </c>
      <c r="D1182" s="83" t="n">
        <v>1.4</v>
      </c>
      <c r="E1182" s="133" t="n">
        <v>84</v>
      </c>
      <c r="F1182" s="139" t="n">
        <v>108</v>
      </c>
      <c r="G1182" s="86" t="s">
        <v>30</v>
      </c>
      <c r="H1182" s="87" t="s">
        <v>49</v>
      </c>
      <c r="I1182" s="86" t="n">
        <v>0.15</v>
      </c>
      <c r="J1182" s="88" t="n">
        <v>45</v>
      </c>
      <c r="K1182" s="89" t="s">
        <v>26</v>
      </c>
      <c r="L1182" s="86" t="n">
        <v>11</v>
      </c>
      <c r="M1182" s="122" t="n">
        <v>43720</v>
      </c>
      <c r="N1182" s="86" t="s">
        <v>32</v>
      </c>
      <c r="O1182" s="91" t="n">
        <v>42583</v>
      </c>
      <c r="P1182" s="92" t="n">
        <v>1499</v>
      </c>
      <c r="Q1182" s="92" t="n">
        <v>950</v>
      </c>
      <c r="R1182" s="93" t="str">
        <f aca="false">HYPERLINK("https://amzn.to/2K88EL7","link*")</f>
        <v>link*</v>
      </c>
      <c r="S1182" s="93" t="str">
        <f aca="false">HYPERLINK("https://www.bhphotovideo.com/c/product/1264965-REG/sony_sel50f14z_planar_t_fe_50mm.html/BI/19619/KBID/12129/DFF/d10-v21-t1-x746806/SID/EZ","link*")</f>
        <v>link*</v>
      </c>
      <c r="T1182" s="94" t="s">
        <v>33</v>
      </c>
      <c r="U1182" s="93"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1183" customFormat="false" ht="15.75" hidden="true" customHeight="false" outlineLevel="0" collapsed="false">
      <c r="A1183" s="80" t="s">
        <v>133</v>
      </c>
      <c r="B1183" s="81" t="n">
        <v>910</v>
      </c>
      <c r="C1183" s="82" t="n">
        <v>50</v>
      </c>
      <c r="D1183" s="83" t="n">
        <v>1.4</v>
      </c>
      <c r="E1183" s="133" t="n">
        <v>85</v>
      </c>
      <c r="F1183" s="139" t="n">
        <v>125.9</v>
      </c>
      <c r="G1183" s="86" t="s">
        <v>30</v>
      </c>
      <c r="H1183" s="87" t="s">
        <v>57</v>
      </c>
      <c r="I1183" s="86" t="n">
        <v>0.18</v>
      </c>
      <c r="J1183" s="88" t="n">
        <v>40</v>
      </c>
      <c r="K1183" s="89" t="s">
        <v>26</v>
      </c>
      <c r="L1183" s="86" t="n">
        <v>9</v>
      </c>
      <c r="M1183" s="122" t="n">
        <v>43690</v>
      </c>
      <c r="N1183" s="86" t="s">
        <v>43</v>
      </c>
      <c r="O1183" s="91" t="n">
        <v>43221</v>
      </c>
      <c r="P1183" s="92" t="n">
        <v>949</v>
      </c>
      <c r="Q1183" s="92" t="n">
        <v>550</v>
      </c>
      <c r="R1183" s="93" t="str">
        <f aca="false">HYPERLINK("https://amzn.to/2K4JmyT","link*")</f>
        <v>link*</v>
      </c>
      <c r="S1183" s="93" t="str">
        <f aca="false">HYPERLINK("https://www.bhphotovideo.com/c/product/1393493-REG/sigma_50mm_f_1_4_dg_hsm.html/BI/19619/KBID/12129/kw/SI5014SO/DFF/d10-v2-t1-xSI5014SO","link*")</f>
        <v>link*</v>
      </c>
      <c r="T1183" s="93" t="str">
        <f aca="false">HYPERLINK("https://amzn.to/2Wpdoz5","link*")</f>
        <v>link*</v>
      </c>
      <c r="U1183" s="93"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row>
    <row r="1184" customFormat="false" ht="15.75" hidden="true" customHeight="false" outlineLevel="0" collapsed="false">
      <c r="A1184" s="80" t="s">
        <v>134</v>
      </c>
      <c r="B1184" s="81" t="n">
        <v>585</v>
      </c>
      <c r="C1184" s="82" t="n">
        <v>50</v>
      </c>
      <c r="D1184" s="83" t="n">
        <v>1.4</v>
      </c>
      <c r="E1184" s="133" t="n">
        <v>74</v>
      </c>
      <c r="F1184" s="139" t="n">
        <v>98</v>
      </c>
      <c r="G1184" s="86" t="s">
        <v>30</v>
      </c>
      <c r="H1184" s="87" t="s">
        <v>54</v>
      </c>
      <c r="I1184" s="86" t="n">
        <v>0.15</v>
      </c>
      <c r="J1184" s="88" t="n">
        <v>45</v>
      </c>
      <c r="K1184" s="89" t="s">
        <v>26</v>
      </c>
      <c r="L1184" s="86" t="n">
        <v>9</v>
      </c>
      <c r="M1184" s="122" t="n">
        <v>43686</v>
      </c>
      <c r="N1184" s="86" t="s">
        <v>47</v>
      </c>
      <c r="O1184" s="91" t="n">
        <v>42583</v>
      </c>
      <c r="P1184" s="92" t="n">
        <v>699</v>
      </c>
      <c r="Q1184" s="92" t="n">
        <v>300</v>
      </c>
      <c r="R1184" s="93" t="str">
        <f aca="false">HYPERLINK("https://amzn.to/2SY1Pyr","link*")</f>
        <v>link*</v>
      </c>
      <c r="S1184" s="93" t="str">
        <f aca="false">HYPERLINK("https://www.bhphotovideo.com/c/product/1352862-REG/samyang_syio50af_e_50mm_f_1_4_auto_focus.html/BI/19619/KBID/12129/DFF/d10-v21-t1-x837927/SID/EZ","link*")</f>
        <v>link*</v>
      </c>
      <c r="T1184" s="94" t="s">
        <v>33</v>
      </c>
      <c r="U1184" s="93"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1185" customFormat="false" ht="15.75" hidden="true" customHeight="false" outlineLevel="0" collapsed="false">
      <c r="A1185" s="128" t="str">
        <f aca="false">HYPERLINK("https://phillipreeve.net/blog/review-sony-fe-1-850/","Sony 50mm F1.8")</f>
        <v>Sony 50mm F1.8</v>
      </c>
      <c r="B1185" s="81" t="n">
        <v>186</v>
      </c>
      <c r="C1185" s="82" t="n">
        <v>50</v>
      </c>
      <c r="D1185" s="83" t="n">
        <v>1.8</v>
      </c>
      <c r="E1185" s="133" t="n">
        <v>69</v>
      </c>
      <c r="F1185" s="139" t="n">
        <v>60</v>
      </c>
      <c r="G1185" s="86" t="s">
        <v>30</v>
      </c>
      <c r="H1185" s="87" t="s">
        <v>80</v>
      </c>
      <c r="I1185" s="86" t="n">
        <v>0.14</v>
      </c>
      <c r="J1185" s="88" t="n">
        <v>45</v>
      </c>
      <c r="K1185" s="89" t="s">
        <v>26</v>
      </c>
      <c r="L1185" s="86" t="n">
        <v>7</v>
      </c>
      <c r="M1185" s="122" t="n">
        <v>43591</v>
      </c>
      <c r="N1185" s="86" t="s">
        <v>32</v>
      </c>
      <c r="O1185" s="91" t="n">
        <v>42430</v>
      </c>
      <c r="P1185" s="145" t="n">
        <v>249</v>
      </c>
      <c r="Q1185" s="145" t="n">
        <v>165</v>
      </c>
      <c r="R1185" s="93" t="str">
        <f aca="false">HYPERLINK("http://amzn.to/2v2F5Se","link*")</f>
        <v>link*</v>
      </c>
      <c r="S1185" s="93" t="str">
        <f aca="false">HYPERLINK("https://www.bhphotovideo.com/c/product/1242613-REG/sony_sel50f18f_fe_50mm_f_1_8_lens.html/BI/19619/KBID/12129/kw/SO5018F/DFF/d10-v2-t1-xSO5018F","link*")</f>
        <v>link*</v>
      </c>
      <c r="T1185" s="93" t="str">
        <f aca="false">HYPERLINK("http://amzn.to/2wyHB25","link*")</f>
        <v>link*</v>
      </c>
      <c r="U1185" s="93"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1186" customFormat="false" ht="15.75" hidden="false" customHeight="false" outlineLevel="0" collapsed="false">
      <c r="A1186" s="128" t="str">
        <f aca="false">HYPERLINK("https://docs.google.com/document/d/115s6JHR9S4pBUesKJEkgWeoP8rcGbT31p6fQSg5SFQM/edit?usp=sharing","Voigtlander 50mm F2 APO-Lanthar")</f>
        <v>Voigtlander 50mm F2 APO-Lanthar</v>
      </c>
      <c r="B1186" s="81" t="n">
        <v>364</v>
      </c>
      <c r="C1186" s="82" t="n">
        <v>50</v>
      </c>
      <c r="D1186" s="83" t="n">
        <v>2</v>
      </c>
      <c r="E1186" s="133" t="n">
        <v>63</v>
      </c>
      <c r="F1186" s="139" t="n">
        <v>61</v>
      </c>
      <c r="G1186" s="86" t="s">
        <v>24</v>
      </c>
      <c r="H1186" s="87" t="s">
        <v>80</v>
      </c>
      <c r="I1186" s="86" t="n">
        <v>0.156</v>
      </c>
      <c r="J1186" s="88" t="n">
        <v>45</v>
      </c>
      <c r="K1186" s="89" t="s">
        <v>26</v>
      </c>
      <c r="L1186" s="86" t="n">
        <v>12</v>
      </c>
      <c r="M1186" s="122" t="n">
        <v>43687</v>
      </c>
      <c r="N1186" s="86" t="s">
        <v>28</v>
      </c>
      <c r="O1186" s="91" t="n">
        <v>43811</v>
      </c>
      <c r="P1186" s="92" t="n">
        <v>1049</v>
      </c>
      <c r="Q1186" s="92" t="s">
        <v>36</v>
      </c>
      <c r="R1186" s="93" t="str">
        <f aca="false">HYPERLINK("https://amzn.to/2uCNQ9n","link*")</f>
        <v>link*</v>
      </c>
      <c r="S1186" s="93" t="str">
        <f aca="false">HYPERLINK("https://www.bhphotovideo.com/c/product/1526146-REG/voigtlander_apo_lanthar50_apo_lanthar_50mm_f_2_aspherical.html/BI/19619/KBID/12129/DFF/d10-v21-t1-x1008376/SID/EZ","link*")</f>
        <v>link*</v>
      </c>
      <c r="T1186" s="94" t="s">
        <v>33</v>
      </c>
      <c r="U1186" s="94"/>
      <c r="V1186" s="69"/>
    </row>
    <row r="1187" customFormat="false" ht="15.75" hidden="false" customHeight="false" outlineLevel="0" collapsed="false">
      <c r="A1187" s="128" t="str">
        <f aca="false">HYPERLINK("https://phillipreeve.net/blog/review-zeiss-loxia-planar-250-t/","Zeiss Loxia 50mm F2")</f>
        <v>Zeiss Loxia 50mm F2</v>
      </c>
      <c r="B1187" s="81" t="n">
        <v>320</v>
      </c>
      <c r="C1187" s="82" t="n">
        <v>50</v>
      </c>
      <c r="D1187" s="83" t="n">
        <v>2</v>
      </c>
      <c r="E1187" s="133" t="n">
        <v>62</v>
      </c>
      <c r="F1187" s="139" t="n">
        <v>60</v>
      </c>
      <c r="G1187" s="86" t="s">
        <v>24</v>
      </c>
      <c r="H1187" s="87" t="s">
        <v>73</v>
      </c>
      <c r="I1187" s="86" t="n">
        <v>0.15</v>
      </c>
      <c r="J1187" s="88" t="n">
        <v>45</v>
      </c>
      <c r="K1187" s="89" t="s">
        <v>26</v>
      </c>
      <c r="L1187" s="86" t="n">
        <v>10</v>
      </c>
      <c r="M1187" s="122" t="n">
        <v>43561</v>
      </c>
      <c r="N1187" s="86" t="s">
        <v>59</v>
      </c>
      <c r="O1187" s="91" t="n">
        <v>41913</v>
      </c>
      <c r="P1187" s="92" t="n">
        <v>949</v>
      </c>
      <c r="Q1187" s="92" t="n">
        <v>450</v>
      </c>
      <c r="R1187" s="93" t="str">
        <f aca="false">HYPERLINK("http://amzn.to/2faVsIu","link*")</f>
        <v>link*</v>
      </c>
      <c r="S1187" s="93" t="str">
        <f aca="false">HYPERLINK("https://www.bhphotovideo.com/c/product/1080387-REG/zeiss_2103_748_loxia_50mm_f_2_planar.html/BI/19619/KBID/12129/kw/ZE502LFE/DFF/d10-v2-t1-xZE502LFE","link*")</f>
        <v>link*</v>
      </c>
      <c r="T1187" s="93" t="str">
        <f aca="false">HYPERLINK("http://amzn.to/2wyJAU4","link*")</f>
        <v>link*</v>
      </c>
      <c r="U1187" s="93"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row>
    <row r="1188" customFormat="false" ht="15.75" hidden="true" customHeight="false" outlineLevel="0" collapsed="false">
      <c r="A1188" s="216" t="s">
        <v>135</v>
      </c>
      <c r="B1188" s="217" t="n">
        <v>174</v>
      </c>
      <c r="C1188" s="218" t="n">
        <v>50</v>
      </c>
      <c r="D1188" s="219" t="n">
        <v>2.5</v>
      </c>
      <c r="E1188" s="220" t="n">
        <v>68</v>
      </c>
      <c r="F1188" s="221" t="n">
        <v>45</v>
      </c>
      <c r="G1188" s="222" t="s">
        <v>30</v>
      </c>
      <c r="H1188" s="223" t="s">
        <v>80</v>
      </c>
      <c r="I1188" s="224" t="n">
        <v>0.18</v>
      </c>
      <c r="J1188" s="225" t="n">
        <v>35</v>
      </c>
      <c r="K1188" s="226" t="s">
        <v>26</v>
      </c>
      <c r="L1188" s="224" t="n">
        <v>9</v>
      </c>
      <c r="M1188" s="227" t="n">
        <v>44448</v>
      </c>
      <c r="N1188" s="224" t="s">
        <v>32</v>
      </c>
      <c r="O1188" s="235" t="n">
        <v>44343</v>
      </c>
      <c r="P1188" s="136" t="n">
        <v>599</v>
      </c>
      <c r="Q1188" s="136"/>
      <c r="R1188" s="229"/>
      <c r="S1188" s="229"/>
      <c r="T1188" s="229"/>
      <c r="U1188" s="229"/>
    </row>
    <row r="1189" customFormat="false" ht="15.75" hidden="true" customHeight="false" outlineLevel="0" collapsed="false">
      <c r="A1189" s="24" t="str">
        <f aca="false">HYPERLINK("https://phillipreeve.net/blog/rolling-review-sony-fe-2-850-macro/","Sony 50mm F/2.8 Macro")</f>
        <v>Sony 50mm F/2.8 Macro</v>
      </c>
      <c r="B1189" s="25" t="n">
        <v>236</v>
      </c>
      <c r="C1189" s="26" t="n">
        <v>50</v>
      </c>
      <c r="D1189" s="27" t="n">
        <v>2.8</v>
      </c>
      <c r="E1189" s="130" t="n">
        <v>72</v>
      </c>
      <c r="F1189" s="175" t="n">
        <v>71</v>
      </c>
      <c r="G1189" s="32" t="s">
        <v>30</v>
      </c>
      <c r="H1189" s="31" t="s">
        <v>78</v>
      </c>
      <c r="I1189" s="236" t="n">
        <v>1</v>
      </c>
      <c r="J1189" s="33" t="n">
        <v>16</v>
      </c>
      <c r="K1189" s="30" t="s">
        <v>26</v>
      </c>
      <c r="L1189" s="32" t="n">
        <v>7</v>
      </c>
      <c r="M1189" s="98" t="n">
        <v>43654</v>
      </c>
      <c r="N1189" s="32" t="s">
        <v>32</v>
      </c>
      <c r="O1189" s="35" t="n">
        <v>42614</v>
      </c>
      <c r="P1189" s="237" t="n">
        <v>499</v>
      </c>
      <c r="Q1189" s="237" t="n">
        <v>350</v>
      </c>
      <c r="R1189" s="37" t="str">
        <f aca="false">HYPERLINK("http://amzn.to/2v2g0qz","link*")</f>
        <v>link*</v>
      </c>
      <c r="S1189" s="37" t="str">
        <f aca="false">HYPERLINK("https://www.bhphotovideo.com/c/product/1277527-REG/sony_sel50m28_fe_50mm_f_2_8_macro.html/BI/19619/KBID/12129/kw/SO5028FF/DFF/d10-v2-t1-xSO5028FF","link*")</f>
        <v>link*</v>
      </c>
      <c r="T1189" s="37" t="str">
        <f aca="false">HYPERLINK("http://amzn.to/2vbknRN","link*")</f>
        <v>link*</v>
      </c>
      <c r="U1189" s="37"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V1189" s="38"/>
    </row>
    <row r="1190" customFormat="false" ht="15.75" hidden="true" customHeight="false" outlineLevel="0" collapsed="false">
      <c r="A1190" s="99" t="str">
        <f aca="false">HYPERLINK("https://phillipreeve.net/blog/sony-fe-1-855-za-sonnar-t-review/","Sony ZA 55mm F1.8 Sonnar")</f>
        <v>Sony ZA 55mm F1.8 Sonnar</v>
      </c>
      <c r="B1190" s="100" t="n">
        <v>281</v>
      </c>
      <c r="C1190" s="101" t="n">
        <v>55</v>
      </c>
      <c r="D1190" s="102" t="n">
        <v>1.8</v>
      </c>
      <c r="E1190" s="130" t="n">
        <v>64</v>
      </c>
      <c r="F1190" s="175" t="n">
        <v>71</v>
      </c>
      <c r="G1190" s="107" t="s">
        <v>30</v>
      </c>
      <c r="H1190" s="106" t="s">
        <v>80</v>
      </c>
      <c r="I1190" s="107" t="n">
        <v>0.14</v>
      </c>
      <c r="J1190" s="108" t="n">
        <v>50</v>
      </c>
      <c r="K1190" s="105" t="s">
        <v>26</v>
      </c>
      <c r="L1190" s="107" t="n">
        <v>9</v>
      </c>
      <c r="M1190" s="238" t="n">
        <v>43592</v>
      </c>
      <c r="N1190" s="107" t="s">
        <v>32</v>
      </c>
      <c r="O1190" s="110" t="n">
        <v>41548</v>
      </c>
      <c r="P1190" s="111" t="n">
        <v>999</v>
      </c>
      <c r="Q1190" s="111" t="n">
        <v>500</v>
      </c>
      <c r="R1190" s="112" t="str">
        <f aca="false">HYPERLINK("https://amzn.to/2ywdgEk","link*")</f>
        <v>link*</v>
      </c>
      <c r="S1190" s="112" t="str">
        <f aca="false">HYPERLINK("https://www.bhphotovideo.com/c/product/1008124-REG/sony_sel55f18z_sonnar_t_fe_55mm.html/BI/19619/KBID/12129/DFF/d10-v21-t1-x466841/SID/EZ","link*")</f>
        <v>link*</v>
      </c>
      <c r="T1190" s="239" t="s">
        <v>33</v>
      </c>
      <c r="U1190" s="112"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V1190" s="38"/>
    </row>
    <row r="1191" customFormat="false" ht="15.75" hidden="false" customHeight="false" outlineLevel="0" collapsed="false">
      <c r="A1191" s="99" t="str">
        <f aca="false">HYPERLINK("https://phillipreeve.net/blog/voigtlander-65-f2-apo-macro-review/","Voigtlander Macro 65mm F2 Apo Lanthar")</f>
        <v>Voigtlander Macro 65mm F2 Apo Lanthar</v>
      </c>
      <c r="B1191" s="100" t="n">
        <v>635</v>
      </c>
      <c r="C1191" s="101" t="n">
        <v>65</v>
      </c>
      <c r="D1191" s="102" t="n">
        <v>2</v>
      </c>
      <c r="E1191" s="130" t="n">
        <v>78</v>
      </c>
      <c r="F1191" s="175" t="n">
        <v>91</v>
      </c>
      <c r="G1191" s="107" t="s">
        <v>24</v>
      </c>
      <c r="H1191" s="106" t="s">
        <v>54</v>
      </c>
      <c r="I1191" s="240" t="n">
        <v>0.5</v>
      </c>
      <c r="J1191" s="108" t="n">
        <v>31</v>
      </c>
      <c r="K1191" s="105" t="s">
        <v>26</v>
      </c>
      <c r="L1191" s="107" t="n">
        <v>10</v>
      </c>
      <c r="M1191" s="238" t="n">
        <v>43687</v>
      </c>
      <c r="N1191" s="107" t="s">
        <v>28</v>
      </c>
      <c r="O1191" s="241" t="n">
        <v>42917</v>
      </c>
      <c r="P1191" s="111" t="n">
        <v>999</v>
      </c>
      <c r="Q1191" s="111" t="n">
        <v>600</v>
      </c>
      <c r="R1191" s="112" t="str">
        <f aca="false">HYPERLINK("https://amzn.to/2LU48SI","link*")</f>
        <v>link*</v>
      </c>
      <c r="S1191" s="112" t="str">
        <f aca="false">HYPERLINK("https://www.bhphotovideo.com/c/product/1350400-REG/voigtlander_macro_apo_lanthar_65mm_f2.html/BI/19619/KBID/12129/DFF/d10-v21-t1-x835677/SID/EZ","link*")</f>
        <v>link*</v>
      </c>
      <c r="T1191" s="239" t="s">
        <v>33</v>
      </c>
      <c r="U1191" s="112"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V1191" s="38"/>
    </row>
    <row r="1192" customFormat="false" ht="15.75" hidden="true" customHeight="false" outlineLevel="0" collapsed="false">
      <c r="A1192" s="204" t="s">
        <v>136</v>
      </c>
      <c r="B1192" s="55" t="n">
        <v>405</v>
      </c>
      <c r="C1192" s="56" t="n">
        <v>65</v>
      </c>
      <c r="D1192" s="57" t="n">
        <v>2</v>
      </c>
      <c r="E1192" s="196" t="n">
        <v>72</v>
      </c>
      <c r="F1192" s="197" t="n">
        <v>76</v>
      </c>
      <c r="G1192" s="62" t="s">
        <v>30</v>
      </c>
      <c r="H1192" s="61" t="s">
        <v>67</v>
      </c>
      <c r="I1192" s="62" t="n">
        <v>0.15</v>
      </c>
      <c r="J1192" s="63" t="n">
        <v>55</v>
      </c>
      <c r="K1192" s="60" t="s">
        <v>26</v>
      </c>
      <c r="L1192" s="62" t="n">
        <v>9</v>
      </c>
      <c r="M1192" s="75" t="n">
        <v>44086</v>
      </c>
      <c r="N1192" s="62" t="s">
        <v>43</v>
      </c>
      <c r="O1192" s="242" t="n">
        <v>44196</v>
      </c>
      <c r="P1192" s="66" t="n">
        <v>699</v>
      </c>
      <c r="Q1192" s="66"/>
      <c r="R1192" s="67"/>
      <c r="S1192" s="68" t="s">
        <v>33</v>
      </c>
      <c r="T1192" s="67"/>
      <c r="U1192" s="67"/>
    </row>
    <row r="1193" customFormat="false" ht="15.75" hidden="true" customHeight="false" outlineLevel="0" collapsed="false">
      <c r="A1193" s="39" t="s">
        <v>137</v>
      </c>
      <c r="B1193" s="40" t="n">
        <v>562</v>
      </c>
      <c r="C1193" s="41" t="n">
        <v>70</v>
      </c>
      <c r="D1193" s="42" t="n">
        <v>2.8</v>
      </c>
      <c r="E1193" s="133" t="n">
        <v>71</v>
      </c>
      <c r="F1193" s="139" t="n">
        <v>132</v>
      </c>
      <c r="G1193" s="47" t="s">
        <v>30</v>
      </c>
      <c r="H1193" s="46" t="s">
        <v>80</v>
      </c>
      <c r="I1193" s="243" t="n">
        <v>1</v>
      </c>
      <c r="J1193" s="48" t="n">
        <v>26</v>
      </c>
      <c r="K1193" s="45" t="s">
        <v>26</v>
      </c>
      <c r="L1193" s="47" t="n">
        <v>9</v>
      </c>
      <c r="M1193" s="79" t="n">
        <v>43751</v>
      </c>
      <c r="N1193" s="47" t="s">
        <v>43</v>
      </c>
      <c r="O1193" s="50" t="n">
        <v>43221</v>
      </c>
      <c r="P1193" s="244" t="n">
        <v>569</v>
      </c>
      <c r="Q1193" s="244" t="n">
        <v>400</v>
      </c>
      <c r="R1193" s="52" t="str">
        <f aca="false">HYPERLINK("https://amzn.to/2YGO9te","link*")</f>
        <v>link*</v>
      </c>
      <c r="S1193" s="52" t="str">
        <f aca="false">HYPERLINK("https://www.bhphotovideo.com/c/product/1393483-REG/sigma_70mm_f_2_8_dg_macro.html/BI/19619/KBID/12129/DFF/d10-v21-t1-x895111/SID/EZ","link*")</f>
        <v>link*</v>
      </c>
      <c r="T1193" s="53" t="s">
        <v>33</v>
      </c>
      <c r="U1193" s="52"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row>
    <row r="1194" customFormat="false" ht="15.75" hidden="true" customHeight="false" outlineLevel="0" collapsed="false">
      <c r="A1194" s="80" t="s">
        <v>266</v>
      </c>
      <c r="B1194" s="81" t="n">
        <v>1480</v>
      </c>
      <c r="C1194" s="82" t="n">
        <v>70</v>
      </c>
      <c r="D1194" s="83" t="n">
        <v>2.8</v>
      </c>
      <c r="E1194" s="133" t="n">
        <v>88</v>
      </c>
      <c r="F1194" s="139" t="n">
        <v>200</v>
      </c>
      <c r="G1194" s="86" t="s">
        <v>30</v>
      </c>
      <c r="H1194" s="87" t="s">
        <v>57</v>
      </c>
      <c r="I1194" s="389" t="n">
        <v>0.25</v>
      </c>
      <c r="J1194" s="88" t="n">
        <v>96</v>
      </c>
      <c r="K1194" s="174" t="s">
        <v>50</v>
      </c>
      <c r="L1194" s="86" t="n">
        <v>11</v>
      </c>
      <c r="M1194" s="90" t="s">
        <v>139</v>
      </c>
      <c r="N1194" s="86" t="s">
        <v>32</v>
      </c>
      <c r="O1194" s="91" t="n">
        <v>42401</v>
      </c>
      <c r="P1194" s="92" t="n">
        <v>2599</v>
      </c>
      <c r="Q1194" s="92" t="n">
        <v>1900</v>
      </c>
      <c r="R1194" s="93" t="str">
        <f aca="false">HYPERLINK("https://amzn.to/2KbaJGn","link*")</f>
        <v>link*</v>
      </c>
      <c r="S1194" s="93" t="str">
        <f aca="false">HYPERLINK("https://www.bhphotovideo.com/c/product/1222776-REG/sony_sel70200gm_fe_70_200mm_f_2_8_gm.html/BI/19619/KBID/12129/DFF/d10-v21-t1-x746807/SID/EZ","link*")</f>
        <v>link*</v>
      </c>
      <c r="T1194" s="94" t="s">
        <v>33</v>
      </c>
      <c r="U1194" s="93"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1195" customFormat="false" ht="15.75" hidden="true" customHeight="false" outlineLevel="0" collapsed="false">
      <c r="A1195" s="80" t="s">
        <v>141</v>
      </c>
      <c r="B1195" s="81" t="n">
        <v>815</v>
      </c>
      <c r="C1195" s="82" t="n">
        <v>70</v>
      </c>
      <c r="D1195" s="83" t="n">
        <v>2.8</v>
      </c>
      <c r="E1195" s="246" t="n">
        <v>81</v>
      </c>
      <c r="F1195" s="139" t="n">
        <v>149</v>
      </c>
      <c r="G1195" s="86" t="s">
        <v>30</v>
      </c>
      <c r="H1195" s="87" t="s">
        <v>54</v>
      </c>
      <c r="I1195" s="389" t="n">
        <v>0.5</v>
      </c>
      <c r="J1195" s="88" t="n">
        <v>85</v>
      </c>
      <c r="K1195" s="86" t="s">
        <v>26</v>
      </c>
      <c r="L1195" s="86" t="n">
        <v>9</v>
      </c>
      <c r="M1195" s="90" t="s">
        <v>142</v>
      </c>
      <c r="N1195" s="86" t="s">
        <v>56</v>
      </c>
      <c r="O1195" s="91" t="n">
        <v>43952</v>
      </c>
      <c r="P1195" s="247" t="n">
        <v>1199</v>
      </c>
      <c r="Q1195" s="92" t="s">
        <v>36</v>
      </c>
      <c r="R1195" s="94"/>
      <c r="S1195" s="137" t="s">
        <v>33</v>
      </c>
      <c r="T1195" s="94"/>
      <c r="U1195" s="93" t="str">
        <f aca="false">HYPERLINK("http://rover.ebay.com/rover/1/711-53200-19255-0/1?icep_ff3=9&amp;pub=5575076376&amp;toolid=10001&amp;campid=5338573609&amp;customid=&amp;icep_uq=tamron+70-180+sony&amp;icep_sellerId=&amp;icep_ex_kw=&amp;icep_sortBy=12&amp;icep_catId=3323&amp;icep_minPrice=&amp;icep_maxPrice=&amp;ipn=psmain&amp;icep_vectori"&amp;"d=229466&amp;kwid=902099&amp;mtid=824&amp;kw=lg","link*")</f>
        <v>link*</v>
      </c>
    </row>
    <row r="1196" customFormat="false" ht="15.75" hidden="true" customHeight="false" outlineLevel="0" collapsed="false">
      <c r="A1196" s="80" t="s">
        <v>143</v>
      </c>
      <c r="B1196" s="81" t="n">
        <v>854</v>
      </c>
      <c r="C1196" s="82" t="n">
        <v>70</v>
      </c>
      <c r="D1196" s="83" t="s">
        <v>144</v>
      </c>
      <c r="E1196" s="133" t="n">
        <v>84</v>
      </c>
      <c r="F1196" s="139" t="n">
        <v>144</v>
      </c>
      <c r="G1196" s="86" t="s">
        <v>30</v>
      </c>
      <c r="H1196" s="87" t="s">
        <v>49</v>
      </c>
      <c r="I1196" s="135" t="n">
        <v>0.31</v>
      </c>
      <c r="J1196" s="88" t="n">
        <v>90</v>
      </c>
      <c r="K1196" s="174" t="s">
        <v>50</v>
      </c>
      <c r="L1196" s="86" t="n">
        <v>9</v>
      </c>
      <c r="M1196" s="90" t="s">
        <v>53</v>
      </c>
      <c r="N1196" s="86" t="s">
        <v>32</v>
      </c>
      <c r="O1196" s="91" t="n">
        <v>42430</v>
      </c>
      <c r="P1196" s="92" t="n">
        <v>1198</v>
      </c>
      <c r="Q1196" s="92" t="n">
        <v>850</v>
      </c>
      <c r="R1196" s="93" t="str">
        <f aca="false">HYPERLINK("https://amzn.to/2SVN1Ao","link*")</f>
        <v>link*</v>
      </c>
      <c r="S1196" s="93" t="str">
        <f aca="false">HYPERLINK("https://www.bhphotovideo.com/c/product/1242614-REG/sony_sel70300g_fe_70_300mm_f_4_5_5_6_g.html/BI/19619/KBID/12129/DFF/d10-v21-t1-x722726/SID/EZ","link*")</f>
        <v>link*</v>
      </c>
      <c r="T1196" s="94" t="s">
        <v>33</v>
      </c>
      <c r="U1196" s="93"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1197" customFormat="false" ht="15.75" hidden="true" customHeight="false" outlineLevel="0" collapsed="false">
      <c r="A1197" s="248" t="s">
        <v>145</v>
      </c>
      <c r="B1197" s="249" t="n">
        <v>545</v>
      </c>
      <c r="C1197" s="250" t="n">
        <v>70</v>
      </c>
      <c r="D1197" s="251" t="n">
        <v>4.5</v>
      </c>
      <c r="E1197" s="196" t="n">
        <v>77</v>
      </c>
      <c r="F1197" s="197" t="n">
        <v>148</v>
      </c>
      <c r="G1197" s="224" t="s">
        <v>30</v>
      </c>
      <c r="H1197" s="252" t="s">
        <v>54</v>
      </c>
      <c r="I1197" s="253" t="n">
        <f aca="false">1/5.1</f>
        <v>0.1960784314</v>
      </c>
      <c r="J1197" s="225" t="n">
        <v>150</v>
      </c>
      <c r="K1197" s="254" t="s">
        <v>26</v>
      </c>
      <c r="L1197" s="224" t="n">
        <v>7</v>
      </c>
      <c r="M1197" s="227" t="n">
        <v>44119</v>
      </c>
      <c r="N1197" s="224" t="s">
        <v>56</v>
      </c>
      <c r="O1197" s="235" t="n">
        <v>44133</v>
      </c>
      <c r="P1197" s="136" t="n">
        <v>549</v>
      </c>
      <c r="Q1197" s="136" t="s">
        <v>36</v>
      </c>
      <c r="R1197" s="230" t="s">
        <v>33</v>
      </c>
      <c r="S1197" s="230" t="s">
        <v>33</v>
      </c>
      <c r="T1197" s="230" t="s">
        <v>33</v>
      </c>
      <c r="U1197" s="230" t="s">
        <v>33</v>
      </c>
    </row>
    <row r="1198" customFormat="false" ht="15.75" hidden="true" customHeight="false" outlineLevel="0" collapsed="false">
      <c r="A1198" s="24" t="str">
        <f aca="false">HYPERLINK("https://phillipreeve.net/blog/review-sony-fe-470-200-g-oss/https://phillipreeve.net/blog/review-sony-fe-470-200-g-oss/","Sony G 4/70-200 OSS")</f>
        <v>Sony G 4/70-200 OSS</v>
      </c>
      <c r="B1198" s="25" t="n">
        <v>840</v>
      </c>
      <c r="C1198" s="26" t="n">
        <v>70</v>
      </c>
      <c r="D1198" s="27" t="n">
        <v>4</v>
      </c>
      <c r="E1198" s="130" t="n">
        <v>80</v>
      </c>
      <c r="F1198" s="175" t="n">
        <v>175</v>
      </c>
      <c r="G1198" s="32" t="s">
        <v>30</v>
      </c>
      <c r="H1198" s="31" t="s">
        <v>49</v>
      </c>
      <c r="I1198" s="32" t="n">
        <v>0.18</v>
      </c>
      <c r="J1198" s="33" t="n">
        <v>100</v>
      </c>
      <c r="K1198" s="176" t="s">
        <v>50</v>
      </c>
      <c r="L1198" s="32" t="n">
        <v>9</v>
      </c>
      <c r="M1198" s="255" t="s">
        <v>124</v>
      </c>
      <c r="N1198" s="32" t="s">
        <v>32</v>
      </c>
      <c r="O1198" s="35" t="n">
        <v>41548</v>
      </c>
      <c r="P1198" s="36" t="n">
        <v>1498</v>
      </c>
      <c r="Q1198" s="36" t="n">
        <v>850</v>
      </c>
      <c r="R1198" s="37" t="str">
        <f aca="false">HYPERLINK("http://amzn.to/2fbeX3x","link*")</f>
        <v>link*</v>
      </c>
      <c r="S1198" s="37" t="str">
        <f aca="false">HYPERLINK("https://www.bhphotovideo.com/c/product/1380865-REG/sony_fe_70_200mm_f_4_g.html/BI/19619/KBID/12129/kw/SO702004F/DFF/d10-v2-t1-xSO702004F","link*")</f>
        <v>link*</v>
      </c>
      <c r="T1198" s="37" t="str">
        <f aca="false">HYPERLINK("http://amzn.to/2vbFQKj","link*")</f>
        <v>link*</v>
      </c>
      <c r="U1198" s="37"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V1198" s="38"/>
    </row>
    <row r="1199" customFormat="false" ht="15.75" hidden="true" customHeight="false" outlineLevel="0" collapsed="false">
      <c r="A1199" s="54" t="s">
        <v>146</v>
      </c>
      <c r="B1199" s="55" t="n">
        <v>230</v>
      </c>
      <c r="C1199" s="56" t="n">
        <v>75</v>
      </c>
      <c r="D1199" s="57" t="n">
        <v>1.8</v>
      </c>
      <c r="E1199" s="196" t="n">
        <v>65</v>
      </c>
      <c r="F1199" s="197" t="n">
        <v>69</v>
      </c>
      <c r="G1199" s="62" t="s">
        <v>30</v>
      </c>
      <c r="H1199" s="61" t="s">
        <v>48</v>
      </c>
      <c r="I1199" s="62" t="n">
        <v>0.13</v>
      </c>
      <c r="J1199" s="63" t="n">
        <v>69</v>
      </c>
      <c r="K1199" s="60" t="s">
        <v>26</v>
      </c>
      <c r="L1199" s="62" t="n">
        <v>9</v>
      </c>
      <c r="M1199" s="75" t="n">
        <v>44084</v>
      </c>
      <c r="N1199" s="62" t="s">
        <v>47</v>
      </c>
      <c r="O1199" s="256" t="n">
        <v>43922</v>
      </c>
      <c r="P1199" s="66" t="n">
        <v>399</v>
      </c>
      <c r="Q1199" s="66" t="s">
        <v>36</v>
      </c>
      <c r="R1199" s="68" t="s">
        <v>33</v>
      </c>
      <c r="S1199" s="68" t="s">
        <v>33</v>
      </c>
      <c r="T1199" s="68" t="s">
        <v>33</v>
      </c>
      <c r="U1199" s="93" t="str">
        <f aca="false">HYPERLINK("http://rover.ebay.com/rover/1/711-53200-19255-0/1?icep_ff3=9&amp;pub=5575076376&amp;toolid=10001&amp;campid=5338164340&amp;customid=&amp;icep_uq=samyang+75+1.8+sony+af&amp;icep_sellerId=&amp;icep_ex_kw=&amp;icep_sortBy=12&amp;icep_catId=3323&amp;icep_minPrice=&amp;icep_maxPrice=&amp;ipn=psmain&amp;icep_vec"&amp;"torid=229466&amp;kwid=902099&amp;mtid=824&amp;kw=lg","link*")</f>
        <v>link*</v>
      </c>
    </row>
    <row r="1200" customFormat="false" ht="15.75" hidden="true" customHeight="false" outlineLevel="0" collapsed="false">
      <c r="A1200" s="113" t="str">
        <f aca="false">HYPERLINK("https://phillipreeve.net/blog/review-sony-fe-85mm-1-4-gm/","Sony GM 1.4/85")</f>
        <v>Sony GM 1.4/85</v>
      </c>
      <c r="B1200" s="40" t="n">
        <v>854</v>
      </c>
      <c r="C1200" s="41" t="n">
        <v>85</v>
      </c>
      <c r="D1200" s="42" t="n">
        <v>1.4</v>
      </c>
      <c r="E1200" s="133" t="n">
        <v>84</v>
      </c>
      <c r="F1200" s="139" t="n">
        <v>108</v>
      </c>
      <c r="G1200" s="47" t="s">
        <v>30</v>
      </c>
      <c r="H1200" s="46" t="s">
        <v>57</v>
      </c>
      <c r="I1200" s="47" t="n">
        <v>0.12</v>
      </c>
      <c r="J1200" s="48" t="n">
        <v>80</v>
      </c>
      <c r="K1200" s="45" t="s">
        <v>26</v>
      </c>
      <c r="L1200" s="47" t="n">
        <v>11</v>
      </c>
      <c r="M1200" s="79" t="n">
        <v>43688</v>
      </c>
      <c r="N1200" s="47" t="s">
        <v>32</v>
      </c>
      <c r="O1200" s="50" t="n">
        <v>42401</v>
      </c>
      <c r="P1200" s="51" t="n">
        <v>1799</v>
      </c>
      <c r="Q1200" s="51" t="n">
        <v>1150</v>
      </c>
      <c r="R1200" s="52" t="str">
        <f aca="false">HYPERLINK("https://amzn.to/2SZeKAh","link*")</f>
        <v>link*</v>
      </c>
      <c r="S1200" s="52" t="str">
        <f aca="false">HYPERLINK("https://www.bhphotovideo.com/c/product/1222775-REG/sony_sel85f14gm_fe_85mm_f_1_4_gm.html/BI/19619/KBID/12129/DFF/d10-v21-t1-x707644/SID/EZ","link*")</f>
        <v>link*</v>
      </c>
      <c r="T1200" s="140" t="s">
        <v>33</v>
      </c>
      <c r="U1200" s="52"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1201" customFormat="false" ht="15.75" hidden="true" customHeight="false" outlineLevel="0" collapsed="false">
      <c r="A1201" s="80" t="s">
        <v>147</v>
      </c>
      <c r="B1201" s="81" t="n">
        <v>1245</v>
      </c>
      <c r="C1201" s="82" t="n">
        <v>85</v>
      </c>
      <c r="D1201" s="83" t="n">
        <v>1.4</v>
      </c>
      <c r="E1201" s="133" t="n">
        <v>95</v>
      </c>
      <c r="F1201" s="139" t="n">
        <v>152</v>
      </c>
      <c r="G1201" s="86" t="s">
        <v>30</v>
      </c>
      <c r="H1201" s="257" t="s">
        <v>148</v>
      </c>
      <c r="I1201" s="86" t="n">
        <v>0.12</v>
      </c>
      <c r="J1201" s="88" t="n">
        <v>85</v>
      </c>
      <c r="K1201" s="89" t="s">
        <v>26</v>
      </c>
      <c r="L1201" s="86" t="n">
        <v>9</v>
      </c>
      <c r="M1201" s="122" t="n">
        <v>43724</v>
      </c>
      <c r="N1201" s="86" t="s">
        <v>43</v>
      </c>
      <c r="O1201" s="91" t="n">
        <v>43221</v>
      </c>
      <c r="P1201" s="92" t="n">
        <v>1199</v>
      </c>
      <c r="Q1201" s="92" t="n">
        <v>750</v>
      </c>
      <c r="R1201" s="93" t="str">
        <f aca="false">HYPERLINK("https://amzn.to/2MBd68k","link*")</f>
        <v>link*</v>
      </c>
      <c r="S1201" s="93" t="str">
        <f aca="false">HYPERLINK("https://www.bhphotovideo.com/c/product/1393494-REG/sigma_85mm_f_1_4_dg_hsm.html/BI/19619/KBID/12129/kw/SI8514SO/DFF/d10-v2-t1-xSI8514SO","link*")</f>
        <v>link*</v>
      </c>
      <c r="T1201" s="93" t="str">
        <f aca="false">HYPERLINK("https://amzn.to/2Wto6JH","link*")</f>
        <v>link*</v>
      </c>
      <c r="U1201" s="93"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row>
    <row r="1202" customFormat="false" ht="15.75" hidden="true" customHeight="false" outlineLevel="0" collapsed="false">
      <c r="A1202" s="80" t="s">
        <v>149</v>
      </c>
      <c r="B1202" s="81" t="n">
        <v>568</v>
      </c>
      <c r="C1202" s="82" t="n">
        <v>85</v>
      </c>
      <c r="D1202" s="83" t="n">
        <v>1.4</v>
      </c>
      <c r="E1202" s="133" t="n">
        <v>88</v>
      </c>
      <c r="F1202" s="139" t="n">
        <v>100</v>
      </c>
      <c r="G1202" s="86" t="s">
        <v>30</v>
      </c>
      <c r="H1202" s="87" t="s">
        <v>57</v>
      </c>
      <c r="I1202" s="86" t="n">
        <v>0.11</v>
      </c>
      <c r="J1202" s="88" t="n">
        <v>90</v>
      </c>
      <c r="K1202" s="89" t="s">
        <v>26</v>
      </c>
      <c r="L1202" s="86" t="n">
        <v>9</v>
      </c>
      <c r="M1202" s="122" t="n">
        <v>43688</v>
      </c>
      <c r="N1202" s="86" t="s">
        <v>47</v>
      </c>
      <c r="O1202" s="91" t="n">
        <v>43586</v>
      </c>
      <c r="P1202" s="145" t="n">
        <v>599</v>
      </c>
      <c r="Q1202" s="92" t="n">
        <v>500</v>
      </c>
      <c r="R1202" s="93" t="str">
        <f aca="false">HYPERLINK("https://amzn.to/2T0yJ1A","link*")</f>
        <v>link*</v>
      </c>
      <c r="S1202" s="93" t="str">
        <f aca="false">HYPERLINK("https://www.bhphotovideo.com/c/product/1470654-REG/samyang_syio85af_e_af_85mm_f_1_4_lens.html/BI/19619/KBID/12129/DFF/d10-v21-t1-x955078/SID/EZ","link*")</f>
        <v>link*</v>
      </c>
      <c r="T1202" s="94" t="s">
        <v>33</v>
      </c>
      <c r="U1202" s="93"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1203" customFormat="false" ht="15.75" hidden="true" customHeight="false" outlineLevel="0" collapsed="false">
      <c r="A1203" s="80" t="s">
        <v>150</v>
      </c>
      <c r="B1203" s="81" t="n">
        <v>630</v>
      </c>
      <c r="C1203" s="82" t="n">
        <v>85</v>
      </c>
      <c r="D1203" s="83" t="n">
        <v>1.4</v>
      </c>
      <c r="E1203" s="133" t="n">
        <v>82.5</v>
      </c>
      <c r="F1203" s="139" t="n">
        <v>94.1</v>
      </c>
      <c r="G1203" s="86" t="s">
        <v>30</v>
      </c>
      <c r="H1203" s="87" t="s">
        <v>57</v>
      </c>
      <c r="I1203" s="86" t="n">
        <f aca="false">1/8.4</f>
        <v>0.119047619</v>
      </c>
      <c r="J1203" s="88" t="n">
        <v>85</v>
      </c>
      <c r="K1203" s="89" t="s">
        <v>26</v>
      </c>
      <c r="L1203" s="86" t="n">
        <v>11</v>
      </c>
      <c r="M1203" s="122" t="n">
        <v>44150</v>
      </c>
      <c r="N1203" s="86" t="s">
        <v>43</v>
      </c>
      <c r="O1203" s="91"/>
      <c r="P1203" s="145" t="n">
        <v>1199</v>
      </c>
      <c r="Q1203" s="92"/>
      <c r="R1203" s="94"/>
      <c r="S1203" s="94"/>
      <c r="T1203" s="94"/>
      <c r="U1203" s="94"/>
    </row>
    <row r="1204" customFormat="false" ht="15.75" hidden="true" customHeight="false" outlineLevel="0" collapsed="false">
      <c r="A1204" s="128" t="str">
        <f aca="false">HYPERLINK("https://phillipreeve.net/blog/review-sony-fe-85-mm-1-8/","Sony FE 85mm f/1.8")</f>
        <v>Sony FE 85mm f/1.8</v>
      </c>
      <c r="B1204" s="81" t="n">
        <v>371</v>
      </c>
      <c r="C1204" s="82" t="n">
        <v>85</v>
      </c>
      <c r="D1204" s="83" t="n">
        <v>1.8</v>
      </c>
      <c r="E1204" s="133" t="n">
        <v>77</v>
      </c>
      <c r="F1204" s="139" t="n">
        <v>82</v>
      </c>
      <c r="G1204" s="86" t="s">
        <v>30</v>
      </c>
      <c r="H1204" s="87" t="s">
        <v>54</v>
      </c>
      <c r="I1204" s="86" t="n">
        <v>0.13</v>
      </c>
      <c r="J1204" s="88" t="n">
        <v>80</v>
      </c>
      <c r="K1204" s="89" t="s">
        <v>26</v>
      </c>
      <c r="L1204" s="86" t="n">
        <v>9</v>
      </c>
      <c r="M1204" s="122" t="n">
        <v>43686</v>
      </c>
      <c r="N1204" s="86" t="s">
        <v>32</v>
      </c>
      <c r="O1204" s="91" t="n">
        <v>42767</v>
      </c>
      <c r="P1204" s="145" t="n">
        <v>599</v>
      </c>
      <c r="Q1204" s="145" t="n">
        <v>470</v>
      </c>
      <c r="R1204" s="93" t="str">
        <f aca="false">HYPERLINK("https://amzn.to/2YB4RxU","link*")</f>
        <v>link*</v>
      </c>
      <c r="S1204" s="93" t="str">
        <f aca="false">HYPERLINK("https://www.bhphotovideo.com/c/product/1140833-REG/zeiss_2103_751_85mm_f_1_8_batis_short.html/BI/19619/KBID/12129/DFF/d10-v21-t1-x627139/SID/EZ","link*")</f>
        <v>link*</v>
      </c>
      <c r="T1204" s="94" t="s">
        <v>33</v>
      </c>
      <c r="U1204" s="93"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1205" customFormat="false" ht="15.75" hidden="true" customHeight="false" outlineLevel="0" collapsed="false">
      <c r="A1205" s="80" t="s">
        <v>151</v>
      </c>
      <c r="B1205" s="81" t="n">
        <v>645</v>
      </c>
      <c r="C1205" s="82" t="n">
        <v>85</v>
      </c>
      <c r="D1205" s="83" t="n">
        <v>1.8</v>
      </c>
      <c r="E1205" s="133" t="n">
        <v>80</v>
      </c>
      <c r="F1205" s="139" t="n">
        <v>93</v>
      </c>
      <c r="G1205" s="86" t="s">
        <v>30</v>
      </c>
      <c r="H1205" s="87" t="s">
        <v>49</v>
      </c>
      <c r="I1205" s="86" t="n">
        <v>0.125</v>
      </c>
      <c r="J1205" s="88" t="n">
        <v>80</v>
      </c>
      <c r="K1205" s="89" t="s">
        <v>26</v>
      </c>
      <c r="L1205" s="86" t="n">
        <v>9</v>
      </c>
      <c r="M1205" s="122" t="n">
        <v>44022</v>
      </c>
      <c r="N1205" s="86" t="s">
        <v>68</v>
      </c>
      <c r="O1205" s="91" t="n">
        <v>43922</v>
      </c>
      <c r="P1205" s="92" t="n">
        <v>499</v>
      </c>
      <c r="Q1205" s="92" t="s">
        <v>36</v>
      </c>
      <c r="R1205" s="94"/>
      <c r="S1205" s="137" t="s">
        <v>33</v>
      </c>
      <c r="T1205" s="94"/>
      <c r="U1205" s="93" t="str">
        <f aca="false">HYPERLINK("http://rover.ebay.com/rover/1/711-53200-19255-0/1?icep_ff3=9&amp;pub=5575076376&amp;toolid=10001&amp;campid=5338164340&amp;customid=&amp;icep_uq=tokina+85mm+1.8+sony+-stm&amp;icep_sellerId=&amp;icep_ex_kw=&amp;icep_sortBy=12&amp;icep_catId=3323&amp;icep_minPrice=&amp;icep_maxPrice=&amp;ipn=psmain&amp;icep_"&amp;"vectorid=229466&amp;kwid=902099&amp;mtid=824&amp;kw=lg","link*")</f>
        <v>link*</v>
      </c>
      <c r="V1205" s="69" t="s">
        <v>152</v>
      </c>
    </row>
    <row r="1206" customFormat="false" ht="15.75" hidden="true" customHeight="false" outlineLevel="0" collapsed="false">
      <c r="A1206" s="128" t="str">
        <f aca="false">HYPERLINK("https://phillipreeve.net/blog/zeiss-batis-sonnar-t-85mm-f1-8-a-review/","Zeiss Batis 1.8/85")</f>
        <v>Zeiss Batis 1.8/85</v>
      </c>
      <c r="B1206" s="81" t="n">
        <v>452</v>
      </c>
      <c r="C1206" s="82" t="n">
        <v>85</v>
      </c>
      <c r="D1206" s="83" t="n">
        <v>1.8</v>
      </c>
      <c r="E1206" s="133" t="n">
        <v>92</v>
      </c>
      <c r="F1206" s="139" t="n">
        <v>81</v>
      </c>
      <c r="G1206" s="86" t="s">
        <v>30</v>
      </c>
      <c r="H1206" s="87" t="s">
        <v>54</v>
      </c>
      <c r="I1206" s="86" t="n">
        <v>0.13</v>
      </c>
      <c r="J1206" s="88" t="n">
        <v>80</v>
      </c>
      <c r="K1206" s="174" t="s">
        <v>50</v>
      </c>
      <c r="L1206" s="86" t="n">
        <v>9</v>
      </c>
      <c r="M1206" s="122" t="n">
        <v>43688</v>
      </c>
      <c r="N1206" s="86" t="s">
        <v>59</v>
      </c>
      <c r="O1206" s="91" t="n">
        <v>42125</v>
      </c>
      <c r="P1206" s="92" t="n">
        <v>1199</v>
      </c>
      <c r="Q1206" s="92" t="n">
        <v>800</v>
      </c>
      <c r="R1206" s="93" t="str">
        <f aca="false">HYPERLINK("https://amzn.to/2T8oWqt","link*")</f>
        <v>link*</v>
      </c>
      <c r="S1206" s="93" t="str">
        <f aca="false">HYPERLINK("https://www.bhphotovideo.com/c/product/1140833-REG/zeiss_2103_751_85mm_f_1_8_batis_short.html/BI/19619/KBID/12129/DFF/d10-v21-t1-x627139/SID/EZ","link*")</f>
        <v>link*</v>
      </c>
      <c r="T1206" s="94" t="s">
        <v>33</v>
      </c>
      <c r="U1206" s="93"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1207" customFormat="false" ht="15.75" hidden="false" customHeight="false" outlineLevel="0" collapsed="false">
      <c r="A1207" s="80" t="s">
        <v>153</v>
      </c>
      <c r="B1207" s="81" t="n">
        <v>665</v>
      </c>
      <c r="C1207" s="82" t="n">
        <v>85</v>
      </c>
      <c r="D1207" s="83" t="n">
        <v>1.8</v>
      </c>
      <c r="E1207" s="133" t="n">
        <v>79</v>
      </c>
      <c r="F1207" s="139" t="n">
        <v>92</v>
      </c>
      <c r="G1207" s="86" t="s">
        <v>24</v>
      </c>
      <c r="H1207" s="87" t="s">
        <v>49</v>
      </c>
      <c r="I1207" s="86" t="n">
        <v>0.13</v>
      </c>
      <c r="J1207" s="88" t="n">
        <v>80</v>
      </c>
      <c r="K1207" s="89" t="s">
        <v>26</v>
      </c>
      <c r="L1207" s="86" t="n">
        <v>9</v>
      </c>
      <c r="M1207" s="122" t="n">
        <v>43656</v>
      </c>
      <c r="N1207" s="86" t="s">
        <v>64</v>
      </c>
      <c r="O1207" s="91" t="n">
        <v>43586</v>
      </c>
      <c r="P1207" s="92" t="n">
        <v>299</v>
      </c>
      <c r="Q1207" s="92" t="s">
        <v>36</v>
      </c>
      <c r="R1207" s="93" t="str">
        <f aca="false">HYPERLINK("https://amzn.to/2LVVOBV","link*")</f>
        <v>link*</v>
      </c>
      <c r="S1207" s="94" t="e">
        <f aca="false">HYPERLINK("https://www.bhphotovideo.com/c/product/1469189-REG/viltrox_pfu_rbmh_85mm_f1_8_e_mount_85mm_f_1_8_for_sony.html/BI/19619/KBID/12129/DFF/d10-v21-t1-x954301/SID/EZ", S1207,"link*")</f>
        <v>#VALUE!</v>
      </c>
      <c r="T1207" s="94" t="s">
        <v>33</v>
      </c>
      <c r="U1207" s="93"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V1207" s="69" t="s">
        <v>39</v>
      </c>
    </row>
    <row r="1208" customFormat="false" ht="15.75" hidden="true" customHeight="false" outlineLevel="0" collapsed="false">
      <c r="A1208" s="128" t="str">
        <f aca="false">HYPERLINK("https://phillipreeve.net/blog/review-viltrox-85-mm-f-1-8-stm-af-pfu-rbmh/","Viltrox PFU RBMH 85mm f/1.8 STM")</f>
        <v>Viltrox PFU RBMH 85mm f/1.8 STM</v>
      </c>
      <c r="B1208" s="81" t="n">
        <v>636</v>
      </c>
      <c r="C1208" s="82" t="n">
        <v>85</v>
      </c>
      <c r="D1208" s="83" t="n">
        <v>1.8</v>
      </c>
      <c r="E1208" s="133" t="n">
        <v>79</v>
      </c>
      <c r="F1208" s="139" t="n">
        <v>92</v>
      </c>
      <c r="G1208" s="86" t="s">
        <v>30</v>
      </c>
      <c r="H1208" s="87" t="s">
        <v>49</v>
      </c>
      <c r="I1208" s="86" t="n">
        <v>0.13</v>
      </c>
      <c r="J1208" s="88" t="n">
        <v>80</v>
      </c>
      <c r="K1208" s="89" t="s">
        <v>26</v>
      </c>
      <c r="L1208" s="86" t="n">
        <v>9</v>
      </c>
      <c r="M1208" s="122" t="n">
        <v>43656</v>
      </c>
      <c r="N1208" s="86" t="s">
        <v>64</v>
      </c>
      <c r="O1208" s="91" t="n">
        <v>43586</v>
      </c>
      <c r="P1208" s="92" t="n">
        <v>399</v>
      </c>
      <c r="Q1208" s="92" t="s">
        <v>36</v>
      </c>
      <c r="R1208" s="93" t="str">
        <f aca="false">HYPERLINK("https://amzn.to/2SZfd5v","link*")</f>
        <v>link*</v>
      </c>
      <c r="S1208" s="93" t="str">
        <f aca="false">HYPERLINK("https://www.bhphotovideo.com/c/product/1470585-REG/viltrox_pfu_rbmh_85mm_f1_8_stm_e_mount_85mm_f_1_8_lens_for.html/BI/19619/KBID/12129/DFF/d10-v21-t1-x955239/SID/EZ","link*")</f>
        <v>link*</v>
      </c>
      <c r="T1208" s="94" t="s">
        <v>33</v>
      </c>
      <c r="U1208" s="93"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8" s="69" t="s">
        <v>39</v>
      </c>
    </row>
    <row r="1209" customFormat="false" ht="15.75" hidden="true" customHeight="false" outlineLevel="0" collapsed="false">
      <c r="A1209" s="258" t="str">
        <f aca="false">HYPERLINK("https://phillipreeve.net/blog/review-viltrox-85-mm-f-1-8-stm-af-pfu-rbmh/","Viltrox 85mm f/1.8 STM II")</f>
        <v>Viltrox 85mm f/1.8 STM II</v>
      </c>
      <c r="B1209" s="178" t="n">
        <v>484</v>
      </c>
      <c r="C1209" s="179" t="n">
        <v>85</v>
      </c>
      <c r="D1209" s="259" t="n">
        <v>1.8</v>
      </c>
      <c r="E1209" s="260" t="n">
        <v>79</v>
      </c>
      <c r="F1209" s="261" t="n">
        <v>92</v>
      </c>
      <c r="G1209" s="188" t="s">
        <v>30</v>
      </c>
      <c r="H1209" s="184" t="s">
        <v>49</v>
      </c>
      <c r="I1209" s="184" t="n">
        <v>0.13</v>
      </c>
      <c r="J1209" s="186" t="n">
        <v>80</v>
      </c>
      <c r="K1209" s="183" t="s">
        <v>26</v>
      </c>
      <c r="L1209" s="184" t="n">
        <v>9</v>
      </c>
      <c r="M1209" s="262" t="n">
        <v>43656</v>
      </c>
      <c r="N1209" s="188" t="s">
        <v>64</v>
      </c>
      <c r="O1209" s="189" t="n">
        <v>44013</v>
      </c>
      <c r="P1209" s="190" t="n">
        <v>399</v>
      </c>
      <c r="Q1209" s="263" t="s">
        <v>36</v>
      </c>
      <c r="R1209" s="191" t="str">
        <f aca="false">HYPERLINK("https://amzn.to/2SZfd5v","link*")</f>
        <v>link*</v>
      </c>
      <c r="S1209" s="191" t="str">
        <f aca="false">HYPERLINK("https://www.bhphotovideo.com/c/product/1470585-REG/viltrox_pfu_rbmh_85mm_f1_8_stm_e_mount_85mm_f_1_8_lens_for.html/BI/19619/KBID/12129/DFF/d10-v21-t1-x955239/SID/EZ","link*")</f>
        <v>link*</v>
      </c>
      <c r="T1209" s="264" t="s">
        <v>33</v>
      </c>
      <c r="U1209" s="191"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c r="V1209" s="192"/>
    </row>
    <row r="1210" customFormat="false" ht="15.75" hidden="false" customHeight="false" outlineLevel="0" collapsed="false">
      <c r="A1210" s="248" t="s">
        <v>154</v>
      </c>
      <c r="B1210" s="265" t="n">
        <v>420</v>
      </c>
      <c r="C1210" s="266" t="n">
        <v>85</v>
      </c>
      <c r="D1210" s="267" t="n">
        <v>1.8</v>
      </c>
      <c r="E1210" s="150" t="n">
        <v>79</v>
      </c>
      <c r="F1210" s="197" t="n">
        <v>75</v>
      </c>
      <c r="G1210" s="268" t="s">
        <v>24</v>
      </c>
      <c r="H1210" s="269" t="s">
        <v>54</v>
      </c>
      <c r="I1210" s="268"/>
      <c r="J1210" s="270" t="n">
        <v>85</v>
      </c>
      <c r="K1210" s="271" t="s">
        <v>26</v>
      </c>
      <c r="L1210" s="268" t="n">
        <v>9</v>
      </c>
      <c r="M1210" s="272" t="n">
        <v>43991</v>
      </c>
      <c r="N1210" s="268" t="s">
        <v>155</v>
      </c>
      <c r="O1210" s="273" t="n">
        <v>44043</v>
      </c>
      <c r="P1210" s="274"/>
      <c r="Q1210" s="274"/>
      <c r="R1210" s="275"/>
      <c r="S1210" s="275"/>
      <c r="T1210" s="275"/>
      <c r="U1210" s="275"/>
    </row>
    <row r="1211" customFormat="false" ht="15.75" hidden="true" customHeight="false" outlineLevel="0" collapsed="false">
      <c r="A1211" s="248" t="s">
        <v>156</v>
      </c>
      <c r="B1211" s="265" t="n">
        <v>346</v>
      </c>
      <c r="C1211" s="266" t="n">
        <v>85</v>
      </c>
      <c r="D1211" s="267" t="n">
        <v>1.8</v>
      </c>
      <c r="E1211" s="150" t="n">
        <v>67</v>
      </c>
      <c r="F1211" s="197" t="n">
        <v>88</v>
      </c>
      <c r="G1211" s="268" t="s">
        <v>30</v>
      </c>
      <c r="H1211" s="269" t="s">
        <v>48</v>
      </c>
      <c r="I1211" s="268" t="n">
        <v>0.13</v>
      </c>
      <c r="J1211" s="270" t="n">
        <v>80</v>
      </c>
      <c r="K1211" s="271" t="s">
        <v>26</v>
      </c>
      <c r="L1211" s="268" t="n">
        <v>7</v>
      </c>
      <c r="M1211" s="272" t="n">
        <v>44417</v>
      </c>
      <c r="N1211" s="268" t="s">
        <v>122</v>
      </c>
      <c r="O1211" s="273"/>
      <c r="P1211" s="274" t="n">
        <v>250</v>
      </c>
      <c r="Q1211" s="274"/>
      <c r="R1211" s="275"/>
      <c r="S1211" s="276" t="s">
        <v>33</v>
      </c>
      <c r="T1211" s="275"/>
      <c r="U1211" s="275"/>
    </row>
    <row r="1212" customFormat="false" ht="15.75" hidden="false" customHeight="false" outlineLevel="0" collapsed="false">
      <c r="A1212" s="24" t="str">
        <f aca="false">HYPERLINK("https://phillipreeve.net/blog/rolling-review-zeiss-loxia-85mm-2-4/","Zeiss Loxia 2.4/85")</f>
        <v>Zeiss Loxia 2.4/85</v>
      </c>
      <c r="B1212" s="25" t="n">
        <v>594</v>
      </c>
      <c r="C1212" s="26" t="n">
        <v>85</v>
      </c>
      <c r="D1212" s="27" t="n">
        <v>2.4</v>
      </c>
      <c r="E1212" s="130" t="n">
        <v>63</v>
      </c>
      <c r="F1212" s="175" t="n">
        <v>95</v>
      </c>
      <c r="G1212" s="32" t="s">
        <v>24</v>
      </c>
      <c r="H1212" s="31" t="s">
        <v>73</v>
      </c>
      <c r="I1212" s="32" t="n">
        <v>0.14</v>
      </c>
      <c r="J1212" s="33" t="n">
        <v>80</v>
      </c>
      <c r="K1212" s="30" t="s">
        <v>26</v>
      </c>
      <c r="L1212" s="32" t="n">
        <v>10</v>
      </c>
      <c r="M1212" s="98" t="n">
        <v>43653</v>
      </c>
      <c r="N1212" s="32" t="s">
        <v>59</v>
      </c>
      <c r="O1212" s="35" t="n">
        <v>42644</v>
      </c>
      <c r="P1212" s="36" t="n">
        <v>1399</v>
      </c>
      <c r="Q1212" s="36" t="n">
        <v>850</v>
      </c>
      <c r="R1212" s="37" t="str">
        <f aca="false">HYPERLINK("https://amzn.to/2SY4PLd","link*")</f>
        <v>link*</v>
      </c>
      <c r="S1212" s="37" t="str">
        <f aca="false">HYPERLINK("https://www.bhphotovideo.com/c/product/1282150-REG/zeiss_2162_636_loxia_85mm_f_2_4_lens.html/BI/19619/KBID/12129/DFF/d10-v21-t1-x762761/SID/EZ","link*")</f>
        <v>link*</v>
      </c>
      <c r="T1212" s="71" t="s">
        <v>33</v>
      </c>
      <c r="U1212" s="37"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V1212" s="38"/>
    </row>
    <row r="1213" customFormat="false" ht="15.75" hidden="true" customHeight="false" outlineLevel="0" collapsed="false">
      <c r="A1213" s="99" t="str">
        <f aca="false">HYPERLINK("https://phillipreeve.net/blog/review-sony-fe-90mm-f2-8-macro-oss-one-of-sonys-finest/","Sony 2.8/90 G OSS")</f>
        <v>Sony 2.8/90 G OSS</v>
      </c>
      <c r="B1213" s="100" t="n">
        <v>602</v>
      </c>
      <c r="C1213" s="101" t="n">
        <v>90</v>
      </c>
      <c r="D1213" s="102" t="n">
        <v>2.8</v>
      </c>
      <c r="E1213" s="130" t="n">
        <v>79</v>
      </c>
      <c r="F1213" s="175" t="n">
        <v>131</v>
      </c>
      <c r="G1213" s="107" t="s">
        <v>30</v>
      </c>
      <c r="H1213" s="106" t="s">
        <v>67</v>
      </c>
      <c r="I1213" s="277" t="n">
        <v>1</v>
      </c>
      <c r="J1213" s="108" t="n">
        <v>28</v>
      </c>
      <c r="K1213" s="278" t="s">
        <v>50</v>
      </c>
      <c r="L1213" s="107" t="n">
        <v>9</v>
      </c>
      <c r="M1213" s="238" t="n">
        <v>43784</v>
      </c>
      <c r="N1213" s="107" t="s">
        <v>32</v>
      </c>
      <c r="O1213" s="110" t="n">
        <v>42064</v>
      </c>
      <c r="P1213" s="111" t="n">
        <v>1099</v>
      </c>
      <c r="Q1213" s="111" t="n">
        <v>850</v>
      </c>
      <c r="R1213" s="112" t="str">
        <f aca="false">HYPERLINK("http://amzn.to/2fbeX3x","link*")</f>
        <v>link*</v>
      </c>
      <c r="S1213" s="112" t="str">
        <f aca="false">HYPERLINK("https://www.bhphotovideo.com/c/product/1380868-REG/sony_fe_90mm_f_2_8_macro.html/BI/19619/KBID/12129/kw/SO9028F/DFF/d10-v2-t1-xSO9028F","link*")</f>
        <v>link*</v>
      </c>
      <c r="T1213" s="112" t="str">
        <f aca="false">HYPERLINK("http://amzn.to/2vvvHcw","link*")</f>
        <v>link*</v>
      </c>
      <c r="U1213" s="112"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V1213" s="38"/>
    </row>
    <row r="1214" customFormat="false" ht="15.75" hidden="true" customHeight="false" outlineLevel="0" collapsed="false">
      <c r="A1214" s="113" t="str">
        <f aca="false">HYPERLINK("https://phillipreeve.net/blog/review-sony-fe-100-f-2-8-stf-gm-oss-lens/","Sony GM 2.8/100 STF OSS")</f>
        <v>Sony GM 2.8/100 STF OSS</v>
      </c>
      <c r="B1214" s="40" t="n">
        <v>700</v>
      </c>
      <c r="C1214" s="41" t="n">
        <v>100</v>
      </c>
      <c r="D1214" s="42" t="n">
        <v>2.8</v>
      </c>
      <c r="E1214" s="133" t="n">
        <v>85</v>
      </c>
      <c r="F1214" s="139" t="n">
        <v>118</v>
      </c>
      <c r="G1214" s="47" t="s">
        <v>30</v>
      </c>
      <c r="H1214" s="46" t="s">
        <v>49</v>
      </c>
      <c r="I1214" s="279" t="n">
        <v>0.25</v>
      </c>
      <c r="J1214" s="48" t="n">
        <v>57</v>
      </c>
      <c r="K1214" s="114" t="s">
        <v>50</v>
      </c>
      <c r="L1214" s="47" t="n">
        <v>11</v>
      </c>
      <c r="M1214" s="79" t="n">
        <v>43752</v>
      </c>
      <c r="N1214" s="47" t="s">
        <v>32</v>
      </c>
      <c r="O1214" s="50" t="n">
        <v>42767</v>
      </c>
      <c r="P1214" s="51" t="n">
        <v>1499</v>
      </c>
      <c r="Q1214" s="51" t="n">
        <v>1000</v>
      </c>
      <c r="R1214" s="52" t="str">
        <f aca="false">HYPERLINK("https://amzn.to/2YD8rn4","link*")</f>
        <v>link*</v>
      </c>
      <c r="S1214" s="52" t="str">
        <f aca="false">HYPERLINK("https://www.bhphotovideo.com/c/product/1317561-REG/sony_sel100f28gm_fe_100mm_f_2_8_stf.html/BI/19619/KBID/12129/DFF/d10-v21-t1-x795192/SID/EZ","link*")</f>
        <v>link*</v>
      </c>
      <c r="T1214" s="140" t="s">
        <v>33</v>
      </c>
      <c r="U1214" s="52"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V1214" s="69" t="s">
        <v>158</v>
      </c>
    </row>
    <row r="1215" customFormat="false" ht="15.75" hidden="true" customHeight="false" outlineLevel="0" collapsed="false">
      <c r="A1215" s="128" t="str">
        <f aca="false">HYPERLINK("https://phillipreeve.net/blog/review-tokina-firin-100mm-f2-8-fe-macro/","Tokina Firin 2.8/100 Macro")</f>
        <v>Tokina Firin 2.8/100 Macro</v>
      </c>
      <c r="B1215" s="81" t="n">
        <v>570</v>
      </c>
      <c r="C1215" s="82" t="n">
        <v>100</v>
      </c>
      <c r="D1215" s="83" t="n">
        <v>2.8</v>
      </c>
      <c r="E1215" s="133" t="n">
        <v>74</v>
      </c>
      <c r="F1215" s="134" t="n">
        <v>123</v>
      </c>
      <c r="G1215" s="86" t="s">
        <v>30</v>
      </c>
      <c r="H1215" s="87" t="s">
        <v>78</v>
      </c>
      <c r="I1215" s="280" t="n">
        <v>1</v>
      </c>
      <c r="J1215" s="88" t="n">
        <v>30</v>
      </c>
      <c r="K1215" s="89" t="s">
        <v>26</v>
      </c>
      <c r="L1215" s="86" t="n">
        <v>9</v>
      </c>
      <c r="M1215" s="122" t="n">
        <v>43686</v>
      </c>
      <c r="N1215" s="86" t="s">
        <v>68</v>
      </c>
      <c r="O1215" s="91" t="n">
        <v>43617</v>
      </c>
      <c r="P1215" s="127" t="n">
        <v>599</v>
      </c>
      <c r="Q1215" s="127" t="s">
        <v>36</v>
      </c>
      <c r="R1215" s="93" t="str">
        <f aca="false">HYPERLINK("http://amzn.to/2fbeX3x","link*")</f>
        <v>link*</v>
      </c>
      <c r="S1215" s="93" t="str">
        <f aca="false">HYPERLINK("https://www.bhphotovideo.com/c/product/1473390-REG/tokina_frn_afm100fxse_firin_100mm_f_2_8_fe.html/BI/19619/KBID/12129/kw/TO100AF/DFF/d10-v2-t1-xTO100AF","link*")</f>
        <v>link*</v>
      </c>
      <c r="T1215" s="93"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U1215" s="93"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row>
    <row r="1216" customFormat="false" ht="15.75" hidden="true" customHeight="false" outlineLevel="0" collapsed="false">
      <c r="A1216" s="248" t="s">
        <v>159</v>
      </c>
      <c r="B1216" s="249" t="n">
        <v>1135</v>
      </c>
      <c r="C1216" s="250" t="n">
        <v>100</v>
      </c>
      <c r="D1216" s="251" t="n">
        <v>5</v>
      </c>
      <c r="E1216" s="196" t="n">
        <v>86</v>
      </c>
      <c r="F1216" s="151" t="n">
        <v>197.2</v>
      </c>
      <c r="G1216" s="224" t="s">
        <v>30</v>
      </c>
      <c r="H1216" s="252" t="s">
        <v>54</v>
      </c>
      <c r="I1216" s="281" t="n">
        <f aca="false">1/4.1</f>
        <v>0.243902439</v>
      </c>
      <c r="J1216" s="225" t="n">
        <v>112</v>
      </c>
      <c r="K1216" s="254" t="s">
        <v>50</v>
      </c>
      <c r="L1216" s="224" t="n">
        <v>9</v>
      </c>
      <c r="M1216" s="282" t="s">
        <v>160</v>
      </c>
      <c r="N1216" s="224" t="s">
        <v>43</v>
      </c>
      <c r="O1216" s="235" t="n">
        <v>44022</v>
      </c>
      <c r="P1216" s="136" t="n">
        <v>949</v>
      </c>
      <c r="Q1216" s="136" t="s">
        <v>36</v>
      </c>
      <c r="R1216" s="229"/>
      <c r="S1216" s="230" t="s">
        <v>33</v>
      </c>
      <c r="T1216" s="229"/>
      <c r="U1216" s="37" t="str">
        <f aca="false">HYPERLINK("http://rover.ebay.com/rover/1/711-53200-19255-0/1?icep_ff3=9&amp;pub=5575076376&amp;toolid=10001&amp;campid=5338164340&amp;customid=&amp;icep_uq=sigma+sony+gm+100-400&amp;icep_sellerId=&amp;icep_ex_kw=&amp;icep_sortBy=12&amp;icep_catId=3323&amp;icep_minPrice=&amp;icep_maxPrice=&amp;ipn=psmain&amp;icep_vect"&amp;"orid=229466&amp;kwid=902099&amp;mtid=824&amp;kw=lg","link*")</f>
        <v>link*</v>
      </c>
      <c r="V1216" s="283"/>
    </row>
    <row r="1217" customFormat="false" ht="15.75" hidden="true" customHeight="false" outlineLevel="0" collapsed="false">
      <c r="A1217" s="284" t="s">
        <v>161</v>
      </c>
      <c r="B1217" s="25" t="n">
        <v>1395</v>
      </c>
      <c r="C1217" s="26" t="n">
        <v>100</v>
      </c>
      <c r="D1217" s="27" t="s">
        <v>144</v>
      </c>
      <c r="E1217" s="130" t="n">
        <v>94</v>
      </c>
      <c r="F1217" s="131" t="n">
        <v>205</v>
      </c>
      <c r="G1217" s="32" t="s">
        <v>30</v>
      </c>
      <c r="H1217" s="31" t="s">
        <v>57</v>
      </c>
      <c r="I1217" s="231" t="n">
        <v>0.35</v>
      </c>
      <c r="J1217" s="33" t="n">
        <v>98</v>
      </c>
      <c r="K1217" s="176" t="s">
        <v>50</v>
      </c>
      <c r="L1217" s="32" t="n">
        <v>9</v>
      </c>
      <c r="M1217" s="255" t="s">
        <v>160</v>
      </c>
      <c r="N1217" s="32" t="s">
        <v>32</v>
      </c>
      <c r="O1217" s="35" t="n">
        <v>42826</v>
      </c>
      <c r="P1217" s="36" t="n">
        <v>2499</v>
      </c>
      <c r="Q1217" s="36" t="n">
        <v>1950</v>
      </c>
      <c r="R1217" s="37" t="str">
        <f aca="false">HYPERLINK("https://amzn.to/2SZ0aZO","link*")</f>
        <v>link*</v>
      </c>
      <c r="S1217" s="37" t="str">
        <f aca="false">HYPERLINK("https://www.bhphotovideo.com/c/product/1333230-REG/sony_sel100400gm_fe_100_400mm_f_4_5_5_6_gm.html/BI/19619/KBID/12129/DFF/d10-v21-t1-x817745/SID/EZ","link*")</f>
        <v>link*</v>
      </c>
      <c r="T1217" s="71" t="s">
        <v>33</v>
      </c>
      <c r="U1217" s="37"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V1217" s="38"/>
    </row>
    <row r="1218" customFormat="false" ht="15.75" hidden="true" customHeight="false" outlineLevel="0" collapsed="false">
      <c r="A1218" s="285" t="s">
        <v>162</v>
      </c>
      <c r="B1218" s="100" t="n">
        <v>1720</v>
      </c>
      <c r="C1218" s="101" t="n">
        <v>105</v>
      </c>
      <c r="D1218" s="102" t="n">
        <v>1.4</v>
      </c>
      <c r="E1218" s="130" t="n">
        <v>116</v>
      </c>
      <c r="F1218" s="131" t="n">
        <v>157.5</v>
      </c>
      <c r="G1218" s="107" t="s">
        <v>30</v>
      </c>
      <c r="H1218" s="286" t="s">
        <v>163</v>
      </c>
      <c r="I1218" s="107" t="n">
        <v>0.12</v>
      </c>
      <c r="J1218" s="108" t="n">
        <v>100</v>
      </c>
      <c r="K1218" s="105" t="s">
        <v>26</v>
      </c>
      <c r="L1218" s="107" t="n">
        <v>9</v>
      </c>
      <c r="M1218" s="238" t="n">
        <v>43816</v>
      </c>
      <c r="N1218" s="107" t="s">
        <v>164</v>
      </c>
      <c r="O1218" s="110" t="n">
        <v>43221</v>
      </c>
      <c r="P1218" s="111" t="n">
        <v>1599</v>
      </c>
      <c r="Q1218" s="111" t="n">
        <v>1150</v>
      </c>
      <c r="R1218" s="112" t="str">
        <f aca="false">HYPERLINK("https://amzn.to/2EWeThZ","link*")</f>
        <v>link*</v>
      </c>
      <c r="S1218" s="112" t="str">
        <f aca="false">HYPERLINK("https://www.bhphotovideo.com/c/product/1393488-REG/sigma_105mm_f_1_4_dg_hsm.html/BI/19619/KBID/12129/kw/SI10514SO/DFF/d10-v2-t1-xSI10514SO","link*")</f>
        <v>link*</v>
      </c>
      <c r="T1218" s="112" t="str">
        <f aca="false">HYPERLINK("https://amzn.to/2WpOvTy","link*")</f>
        <v>link*</v>
      </c>
      <c r="U1218" s="112"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V1218" s="38"/>
    </row>
    <row r="1219" customFormat="false" ht="15.75" hidden="true" customHeight="false" outlineLevel="0" collapsed="false">
      <c r="A1219" s="285" t="s">
        <v>165</v>
      </c>
      <c r="B1219" s="100" t="n">
        <v>710</v>
      </c>
      <c r="C1219" s="101" t="n">
        <v>105</v>
      </c>
      <c r="D1219" s="102" t="n">
        <v>2.8</v>
      </c>
      <c r="E1219" s="69" t="n">
        <v>78</v>
      </c>
      <c r="F1219" s="287" t="n">
        <v>135</v>
      </c>
      <c r="G1219" s="107" t="s">
        <v>30</v>
      </c>
      <c r="H1219" s="106" t="s">
        <v>67</v>
      </c>
      <c r="I1219" s="107" t="n">
        <v>1</v>
      </c>
      <c r="J1219" s="108" t="n">
        <v>29.5</v>
      </c>
      <c r="K1219" s="105" t="s">
        <v>26</v>
      </c>
      <c r="L1219" s="107"/>
      <c r="M1219" s="238" t="n">
        <v>44182</v>
      </c>
      <c r="N1219" s="107" t="s">
        <v>43</v>
      </c>
      <c r="O1219" s="110" t="n">
        <v>44136</v>
      </c>
      <c r="P1219" s="111" t="n">
        <v>799</v>
      </c>
      <c r="Q1219" s="111"/>
      <c r="R1219" s="239"/>
      <c r="S1219" s="239"/>
      <c r="T1219" s="239"/>
      <c r="U1219" s="239"/>
      <c r="V1219" s="38"/>
    </row>
    <row r="1220" customFormat="false" ht="15.75" hidden="false" customHeight="false" outlineLevel="0" collapsed="false">
      <c r="A1220" s="99" t="str">
        <f aca="false">HYPERLINK("https://phillipreeve.net/blog/voigtlander-110mm-f2-5-apo-review/","Voigtlander 110mm F2.5 APO Macro")</f>
        <v>Voigtlander 110mm F2.5 APO Macro</v>
      </c>
      <c r="B1220" s="100" t="n">
        <v>771</v>
      </c>
      <c r="C1220" s="101" t="n">
        <v>110</v>
      </c>
      <c r="D1220" s="102" t="n">
        <v>2.5</v>
      </c>
      <c r="E1220" s="130" t="n">
        <v>78</v>
      </c>
      <c r="F1220" s="175" t="n">
        <v>100</v>
      </c>
      <c r="G1220" s="107" t="s">
        <v>24</v>
      </c>
      <c r="H1220" s="106" t="s">
        <v>48</v>
      </c>
      <c r="I1220" s="277" t="n">
        <v>1</v>
      </c>
      <c r="J1220" s="108" t="n">
        <v>35</v>
      </c>
      <c r="K1220" s="105" t="s">
        <v>26</v>
      </c>
      <c r="L1220" s="107" t="n">
        <v>10</v>
      </c>
      <c r="M1220" s="238" t="n">
        <v>43813</v>
      </c>
      <c r="N1220" s="107" t="s">
        <v>28</v>
      </c>
      <c r="O1220" s="110" t="n">
        <v>43405</v>
      </c>
      <c r="P1220" s="111" t="n">
        <v>1099</v>
      </c>
      <c r="Q1220" s="111" t="s">
        <v>36</v>
      </c>
      <c r="R1220" s="112" t="str">
        <f aca="false">HYPERLINK("https://amzn.to/2SXYsrm","link*")</f>
        <v>link*</v>
      </c>
      <c r="S1220" s="112" t="str">
        <f aca="false">HYPERLINK("https://www.bhphotovideo.com/c/product/1418780-REG/voigtlander_ba349a_macro_apo_lanthar_110mm_f_2_5.html/BI/19619/KBID/12129/kw/VO11025/DFF/d10-v2-t1-xVO11025","link*")</f>
        <v>link*</v>
      </c>
      <c r="T1220" s="239" t="s">
        <v>33</v>
      </c>
      <c r="U1220" s="112"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V1220" s="38"/>
    </row>
    <row r="1221" customFormat="false" ht="15.75" hidden="true" customHeight="false" outlineLevel="0" collapsed="false">
      <c r="A1221" s="113" t="str">
        <f aca="false">HYPERLINK("https://phillipreeve.net/blog/review-sony-fe-135mm-f1-8-gm/","Sony 1.8/135 GM")</f>
        <v>Sony 1.8/135 GM</v>
      </c>
      <c r="B1221" s="40" t="n">
        <v>950</v>
      </c>
      <c r="C1221" s="41" t="n">
        <v>135</v>
      </c>
      <c r="D1221" s="42" t="n">
        <v>1.8</v>
      </c>
      <c r="E1221" s="133" t="n">
        <v>90</v>
      </c>
      <c r="F1221" s="139" t="n">
        <v>127</v>
      </c>
      <c r="G1221" s="47" t="s">
        <v>30</v>
      </c>
      <c r="H1221" s="202" t="s">
        <v>52</v>
      </c>
      <c r="I1221" s="279" t="n">
        <v>0.25</v>
      </c>
      <c r="J1221" s="48" t="n">
        <v>70</v>
      </c>
      <c r="K1221" s="45" t="s">
        <v>26</v>
      </c>
      <c r="L1221" s="47" t="n">
        <v>11</v>
      </c>
      <c r="M1221" s="79" t="n">
        <v>43751</v>
      </c>
      <c r="N1221" s="47" t="s">
        <v>32</v>
      </c>
      <c r="O1221" s="50" t="n">
        <v>43525</v>
      </c>
      <c r="P1221" s="51" t="n">
        <v>1899</v>
      </c>
      <c r="Q1221" s="51" t="n">
        <v>1700</v>
      </c>
      <c r="R1221" s="52" t="str">
        <f aca="false">HYPERLINK("https://amzn.to/2WtonMJ","link*")</f>
        <v>link*</v>
      </c>
      <c r="S1221" s="52" t="str">
        <f aca="false">HYPERLINK("https://www.bhphotovideo.com/c/product/1393495-REG/sigma_135mm_f_1_8_dg_hsm.html/BI/19619/KBID/12129/kw/SI13518SO/DFF/d10-v2-t1-xSI13518SO","link*")</f>
        <v>link*</v>
      </c>
      <c r="T1221" s="52" t="str">
        <f aca="false">HYPERLINK("https://amzn.to/2Z9KKDE","link*")</f>
        <v>link*</v>
      </c>
      <c r="U1221" s="52"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1222" customFormat="false" ht="15.75" hidden="true" customHeight="false" outlineLevel="0" collapsed="false">
      <c r="A1222" s="80" t="s">
        <v>166</v>
      </c>
      <c r="B1222" s="81" t="n">
        <v>1225</v>
      </c>
      <c r="C1222" s="82" t="n">
        <v>135</v>
      </c>
      <c r="D1222" s="83" t="n">
        <v>1.8</v>
      </c>
      <c r="E1222" s="133" t="n">
        <v>91</v>
      </c>
      <c r="F1222" s="139" t="n">
        <v>140.9</v>
      </c>
      <c r="G1222" s="86" t="s">
        <v>30</v>
      </c>
      <c r="H1222" s="288" t="s">
        <v>52</v>
      </c>
      <c r="I1222" s="86" t="n">
        <v>0.2</v>
      </c>
      <c r="J1222" s="88" t="n">
        <v>87</v>
      </c>
      <c r="K1222" s="89" t="s">
        <v>26</v>
      </c>
      <c r="L1222" s="86" t="n">
        <v>9</v>
      </c>
      <c r="M1222" s="122" t="n">
        <v>43751</v>
      </c>
      <c r="N1222" s="86" t="s">
        <v>43</v>
      </c>
      <c r="O1222" s="91" t="n">
        <v>43221</v>
      </c>
      <c r="P1222" s="127" t="n">
        <v>1399</v>
      </c>
      <c r="Q1222" s="127" t="n">
        <v>900</v>
      </c>
      <c r="R1222" s="93" t="str">
        <f aca="false">HYPERLINK("https://amzn.to/2yxIM4R","link*")</f>
        <v>link*</v>
      </c>
      <c r="S1222" s="93" t="str">
        <f aca="false">HYPERLINK("https://www.bhphotovideo.com/c/product/1393495-REG/sigma_135mm_f_1_8_dg_hsm.html/BI/19619/KBID/12129/DFF/d10-v21-t1-x881160/SID/EZ","link*")</f>
        <v>link*</v>
      </c>
      <c r="T1222" s="94" t="s">
        <v>33</v>
      </c>
      <c r="U1222" s="93"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row>
    <row r="1223" customFormat="false" ht="15.75" hidden="true" customHeight="false" outlineLevel="0" collapsed="false">
      <c r="A1223" s="284" t="s">
        <v>167</v>
      </c>
      <c r="B1223" s="25" t="n">
        <v>614</v>
      </c>
      <c r="C1223" s="26" t="n">
        <v>135</v>
      </c>
      <c r="D1223" s="27" t="n">
        <v>2.8</v>
      </c>
      <c r="E1223" s="130" t="n">
        <v>99</v>
      </c>
      <c r="F1223" s="175" t="n">
        <v>120</v>
      </c>
      <c r="G1223" s="32" t="s">
        <v>30</v>
      </c>
      <c r="H1223" s="31" t="s">
        <v>54</v>
      </c>
      <c r="I1223" s="32" t="n">
        <v>0.19</v>
      </c>
      <c r="J1223" s="33" t="n">
        <v>87</v>
      </c>
      <c r="K1223" s="176" t="s">
        <v>50</v>
      </c>
      <c r="L1223" s="32" t="n">
        <v>9</v>
      </c>
      <c r="M1223" s="98" t="n">
        <v>43783</v>
      </c>
      <c r="N1223" s="32" t="s">
        <v>59</v>
      </c>
      <c r="O1223" s="35" t="n">
        <v>42826</v>
      </c>
      <c r="P1223" s="36" t="n">
        <v>1699</v>
      </c>
      <c r="Q1223" s="36" t="n">
        <v>850</v>
      </c>
      <c r="R1223" s="37" t="str">
        <f aca="false">HYPERLINK("https://amzn.to/319GJA4","link*")</f>
        <v>link*</v>
      </c>
      <c r="S1223" s="37" t="str">
        <f aca="false">HYPERLINK("https://www.bhphotovideo.com/c/product/1330083-REG/zeiss_2136_695_batis_135mm_f_2_8_lens.html/BI/19619/KBID/12129/DFF/d10-v21-t1-x814884/SID/EZ","link*")</f>
        <v>link*</v>
      </c>
      <c r="T1223" s="71" t="s">
        <v>33</v>
      </c>
      <c r="U1223" s="37"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V1223" s="38"/>
    </row>
    <row r="1224" customFormat="false" ht="15.75" hidden="true" customHeight="false" outlineLevel="0" collapsed="false">
      <c r="A1224" s="285" t="s">
        <v>172</v>
      </c>
      <c r="B1224" s="100" t="n">
        <v>2215</v>
      </c>
      <c r="C1224" s="101" t="n">
        <v>200</v>
      </c>
      <c r="D1224" s="102" t="s">
        <v>173</v>
      </c>
      <c r="E1224" s="130" t="n">
        <v>112</v>
      </c>
      <c r="F1224" s="175" t="n">
        <v>318</v>
      </c>
      <c r="G1224" s="107" t="s">
        <v>30</v>
      </c>
      <c r="H1224" s="290" t="s">
        <v>105</v>
      </c>
      <c r="I1224" s="107" t="n">
        <v>0.2</v>
      </c>
      <c r="J1224" s="108" t="n">
        <v>240</v>
      </c>
      <c r="K1224" s="278" t="s">
        <v>50</v>
      </c>
      <c r="L1224" s="107" t="n">
        <v>11</v>
      </c>
      <c r="M1224" s="291" t="s">
        <v>174</v>
      </c>
      <c r="N1224" s="107" t="s">
        <v>32</v>
      </c>
      <c r="O1224" s="110" t="n">
        <v>43647</v>
      </c>
      <c r="P1224" s="111" t="n">
        <v>1999</v>
      </c>
      <c r="Q1224" s="111" t="n">
        <v>1900</v>
      </c>
      <c r="R1224" s="292" t="s">
        <v>33</v>
      </c>
      <c r="S1224" s="112" t="str">
        <f aca="false">HYPERLINK("https://www.bhphotovideo.com/c/product/1485540-REG/sony_sel200600g_fe_200_600mm_f_5_6_6_3_g.html/BI/19619/KBID/12129/DFF/d10-v21-t1-x968882/SID/EZ","link*")</f>
        <v>link*</v>
      </c>
      <c r="T1224" s="239" t="s">
        <v>33</v>
      </c>
      <c r="U1224" s="112"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V1224" s="38"/>
    </row>
    <row r="1225" customFormat="false" ht="15.75" hidden="true" customHeight="false" outlineLevel="0" collapsed="false">
      <c r="A1225" s="285" t="s">
        <v>175</v>
      </c>
      <c r="B1225" s="100" t="n">
        <v>2895</v>
      </c>
      <c r="C1225" s="101" t="n">
        <v>400</v>
      </c>
      <c r="D1225" s="102" t="n">
        <v>2.8</v>
      </c>
      <c r="E1225" s="130" t="n">
        <v>158</v>
      </c>
      <c r="F1225" s="175" t="n">
        <v>359</v>
      </c>
      <c r="G1225" s="107" t="s">
        <v>30</v>
      </c>
      <c r="H1225" s="106" t="s">
        <v>176</v>
      </c>
      <c r="I1225" s="107" t="n">
        <v>0.16</v>
      </c>
      <c r="J1225" s="108" t="n">
        <v>270</v>
      </c>
      <c r="K1225" s="278" t="s">
        <v>50</v>
      </c>
      <c r="L1225" s="107" t="n">
        <v>11</v>
      </c>
      <c r="M1225" s="291" t="s">
        <v>177</v>
      </c>
      <c r="N1225" s="107" t="s">
        <v>32</v>
      </c>
      <c r="O1225" s="110" t="n">
        <v>43313</v>
      </c>
      <c r="P1225" s="111" t="n">
        <v>11999</v>
      </c>
      <c r="Q1225" s="111" t="s">
        <v>36</v>
      </c>
      <c r="R1225" s="239"/>
      <c r="S1225" s="112" t="str">
        <f aca="false">HYPERLINK("https://www.bhphotovideo.com/c/product/1369634-REG/sony_fe_400mm_f_2_8_gm.html/BI/19619/KBID/12129/DFF/d10-v21-t1-x905722/SID/EZ","link*")</f>
        <v>link*</v>
      </c>
      <c r="T1225" s="239" t="s">
        <v>33</v>
      </c>
      <c r="U1225" s="112"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V1225" s="38"/>
    </row>
    <row r="1226" customFormat="false" ht="15.75" hidden="true" customHeight="false" outlineLevel="0" collapsed="false">
      <c r="A1226" s="54" t="s">
        <v>178</v>
      </c>
      <c r="B1226" s="55" t="n">
        <v>3040</v>
      </c>
      <c r="C1226" s="56" t="n">
        <v>600</v>
      </c>
      <c r="D1226" s="57" t="n">
        <v>4</v>
      </c>
      <c r="E1226" s="133" t="n">
        <v>164</v>
      </c>
      <c r="F1226" s="139" t="n">
        <v>449</v>
      </c>
      <c r="G1226" s="62" t="s">
        <v>30</v>
      </c>
      <c r="H1226" s="61" t="s">
        <v>25</v>
      </c>
      <c r="I1226" s="62" t="n">
        <v>0.14</v>
      </c>
      <c r="J1226" s="63" t="n">
        <v>451</v>
      </c>
      <c r="K1226" s="114" t="s">
        <v>50</v>
      </c>
      <c r="L1226" s="62" t="n">
        <v>11</v>
      </c>
      <c r="M1226" s="293" t="s">
        <v>179</v>
      </c>
      <c r="N1226" s="62" t="s">
        <v>32</v>
      </c>
      <c r="O1226" s="65" t="n">
        <v>43678</v>
      </c>
      <c r="P1226" s="66" t="n">
        <v>12999</v>
      </c>
      <c r="Q1226" s="66" t="s">
        <v>36</v>
      </c>
      <c r="R1226" s="140"/>
      <c r="S1226" s="52" t="str">
        <f aca="false">HYPERLINK("https://www.bhphotovideo.com/c/product/1485539-REG/sony_sel600f40gm_fe_600mm_f_4_gm.html/BI/19619/KBID/12129/DFF/d10-v21-t1-x968881/SID/EZ","link*")</f>
        <v>link*</v>
      </c>
      <c r="T1226" s="140" t="s">
        <v>33</v>
      </c>
      <c r="U1226" s="52"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sheetData>
  <autoFilter ref="G1:G1226">
    <filterColumn colId="0">
      <filters>
        <filter val="MF"/>
      </filters>
    </filterColumn>
  </autoFilter>
  <conditionalFormatting sqref="A1064:A1226">
    <cfRule type="expression" priority="2" aboveAverage="0" equalAverage="0" bottom="0" percent="0" rank="0" text="" dxfId="12">
      <formula>(TODAY()-O1064)&lt;0</formula>
    </cfRule>
  </conditionalFormatting>
  <conditionalFormatting sqref="A1064:A1226">
    <cfRule type="expression" priority="3" aboveAverage="0" equalAverage="0" bottom="0" percent="0" rank="0" text="" dxfId="9">
      <formula>(TODAY()-O1064)&lt;180</formula>
    </cfRule>
  </conditionalFormatting>
  <conditionalFormatting sqref="B1 B3:B1226">
    <cfRule type="cellIs" priority="4" operator="between" aboveAverage="0" equalAverage="0" bottom="0" percent="0" rank="0" text="" dxfId="2">
      <formula>50</formula>
      <formula>200</formula>
    </cfRule>
  </conditionalFormatting>
  <conditionalFormatting sqref="B1 B3:B1226">
    <cfRule type="cellIs" priority="5" operator="between" aboveAverage="0" equalAverage="0" bottom="0" percent="0" rank="0" text="" dxfId="3">
      <formula>201</formula>
      <formula>400</formula>
    </cfRule>
  </conditionalFormatting>
  <conditionalFormatting sqref="B3:B1058 B1064:B1226">
    <cfRule type="cellIs" priority="6" operator="between" aboveAverage="0" equalAverage="0" bottom="0" percent="0" rank="0" text="" dxfId="4">
      <formula>401</formula>
      <formula>650</formula>
    </cfRule>
  </conditionalFormatting>
  <conditionalFormatting sqref="P3:P1058 K1064:K1226">
    <cfRule type="containsText" priority="7" operator="containsText" aboveAverage="0" equalAverage="0" bottom="0" percent="0" rank="0" text="yes" dxfId="7">
      <formula>NOT(ISERROR(SEARCH("yes",K3)))</formula>
    </cfRule>
  </conditionalFormatting>
  <conditionalFormatting sqref="B3:B1058 B1064:B1226">
    <cfRule type="cellIs" priority="8" operator="greaterThan" aboveAverage="0" equalAverage="0" bottom="0" percent="0" rank="0" text="" dxfId="6">
      <formula>900</formula>
    </cfRule>
  </conditionalFormatting>
  <conditionalFormatting sqref="B3:B1058 B1133:B1226">
    <cfRule type="cellIs" priority="9" operator="between" aboveAverage="0" equalAverage="0" bottom="0" percent="0" rank="0" text="" dxfId="5">
      <formula>651</formula>
      <formula>900</formula>
    </cfRule>
  </conditionalFormatting>
  <conditionalFormatting sqref="F1:F1226">
    <cfRule type="colorScale" priority="10">
      <colorScale>
        <cfvo type="min" val="0"/>
        <cfvo type="formula" val="150"/>
        <color rgb="FFEAD1DC"/>
        <color rgb="FFA64D79"/>
      </colorScale>
    </cfRule>
  </conditionalFormatting>
  <conditionalFormatting sqref="D3:D82 D1064:D1226">
    <cfRule type="colorScale" priority="11">
      <colorScale>
        <cfvo type="formula" val="1.2"/>
        <cfvo type="formula" val="4"/>
        <color rgb="FF0B5394"/>
        <color rgb="FFFFFFFF"/>
      </colorScale>
    </cfRule>
  </conditionalFormatting>
  <conditionalFormatting sqref="E3:E82 E1064:E1226">
    <cfRule type="colorScale" priority="12">
      <colorScale>
        <cfvo type="formula" val="65"/>
        <cfvo type="formula" val="100"/>
        <color rgb="FFD9D2E9"/>
        <color rgb="FF674EA7"/>
      </colorScale>
    </cfRule>
  </conditionalFormatting>
  <conditionalFormatting sqref="D3:D82 D1064:D1226">
    <cfRule type="containsText" priority="13" operator="containsText" aboveAverage="0" equalAverage="0" bottom="0" percent="0" rank="0" text="1.2" dxfId="8">
      <formula>NOT(ISERROR(SEARCH("1.2",D3)))</formula>
    </cfRule>
  </conditionalFormatting>
  <conditionalFormatting sqref="D3:D82 D1064:D1226">
    <cfRule type="containsText" priority="14" operator="containsText" aboveAverage="0" equalAverage="0" bottom="0" percent="0" rank="0" text="1.2" dxfId="8">
      <formula>NOT(ISERROR(SEARCH("1.2",D3)))</formula>
    </cfRule>
  </conditionalFormatting>
  <conditionalFormatting sqref="D3:D82 D1064:D1226">
    <cfRule type="containsText" priority="15" operator="containsText" aboveAverage="0" equalAverage="0" bottom="0" percent="0" rank="0" text="1.4" dxfId="10">
      <formula>NOT(ISERROR(SEARCH("1.4",D3)))</formula>
    </cfRule>
  </conditionalFormatting>
  <conditionalFormatting sqref="D3:D101 D1064:D1226">
    <cfRule type="containsText" priority="16" operator="containsText" aboveAverage="0" equalAverage="0" bottom="0" percent="0" rank="0" text="1.8" dxfId="11">
      <formula>NOT(ISERROR(SEARCH("1.8",D3)))</formula>
    </cfRule>
  </conditionalFormatting>
  <conditionalFormatting sqref="G3:G102 G1064:G1226">
    <cfRule type="cellIs" priority="17" operator="equal" aboveAverage="0" equalAverage="0" bottom="0" percent="0" rank="0" text="" dxfId="12">
      <formula>"MF"</formula>
    </cfRule>
  </conditionalFormatting>
  <conditionalFormatting sqref="I3:I102 I1064:I1226">
    <cfRule type="cellIs" priority="18" operator="between" aboveAverage="0" equalAverage="0" bottom="0" percent="0" rank="0" text="" dxfId="13">
      <formula>0.24</formula>
      <formula>0.45</formula>
    </cfRule>
  </conditionalFormatting>
  <conditionalFormatting sqref="I3:I102 I1064:I1226">
    <cfRule type="cellIs" priority="19" operator="between" aboveAverage="0" equalAverage="0" bottom="0" percent="0" rank="0" text="" dxfId="14">
      <formula>0.45</formula>
      <formula>0.99</formula>
    </cfRule>
  </conditionalFormatting>
  <conditionalFormatting sqref="I3:I102 I1064:I1226">
    <cfRule type="cellIs" priority="20" operator="greaterThan" aboveAverage="0" equalAverage="0" bottom="0" percent="0" rank="0" text="" dxfId="15">
      <formula>0.99</formula>
    </cfRule>
  </conditionalFormatting>
  <conditionalFormatting sqref="I3:I102 I1064:I1226">
    <cfRule type="cellIs" priority="21" operator="greaterThan" aboveAverage="0" equalAverage="0" bottom="0" percent="0" rank="0" text="" dxfId="15">
      <formula>0.99</formula>
    </cfRule>
  </conditionalFormatting>
  <conditionalFormatting sqref="D3:D82">
    <cfRule type="containsText" priority="22" operator="containsText" aboveAverage="0" equalAverage="0" bottom="0" percent="0" rank="0" text="1.4" dxfId="10">
      <formula>NOT(ISERROR(SEARCH("1.4",D3)))</formula>
    </cfRule>
  </conditionalFormatting>
  <conditionalFormatting sqref="D3:D101">
    <cfRule type="containsText" priority="23" operator="containsText" aboveAverage="0" equalAverage="0" bottom="0" percent="0" rank="0" text="1.8" dxfId="11">
      <formula>NOT(ISERROR(SEARCH("1.8",D3)))</formula>
    </cfRule>
  </conditionalFormatting>
  <conditionalFormatting sqref="D3:D82">
    <cfRule type="containsText" priority="24" operator="containsText" aboveAverage="0" equalAverage="0" bottom="0" percent="0" rank="0" text="1.4" dxfId="10">
      <formula>NOT(ISERROR(SEARCH("1.4",D3)))</formula>
    </cfRule>
  </conditionalFormatting>
  <conditionalFormatting sqref="D3:D101">
    <cfRule type="containsText" priority="25" operator="containsText" aboveAverage="0" equalAverage="0" bottom="0" percent="0" rank="0" text="1.8" dxfId="11">
      <formula>NOT(ISERROR(SEARCH("1.8",D3)))</formula>
    </cfRule>
  </conditionalFormatting>
  <conditionalFormatting sqref="D3:D82">
    <cfRule type="containsText" priority="26" operator="containsText" aboveAverage="0" equalAverage="0" bottom="0" percent="0" rank="0" text="1.4" dxfId="10">
      <formula>NOT(ISERROR(SEARCH("1.4",D3)))</formula>
    </cfRule>
  </conditionalFormatting>
  <conditionalFormatting sqref="D3:D101">
    <cfRule type="containsText" priority="27" operator="containsText" aboveAverage="0" equalAverage="0" bottom="0" percent="0" rank="0" text="1.8" dxfId="11">
      <formula>NOT(ISERROR(SEARCH("1.8",D3)))</formula>
    </cfRule>
  </conditionalFormatting>
  <conditionalFormatting sqref="D3:D82">
    <cfRule type="containsText" priority="28" operator="containsText" aboveAverage="0" equalAverage="0" bottom="0" percent="0" rank="0" text="1.4" dxfId="10">
      <formula>NOT(ISERROR(SEARCH("1.4",D3)))</formula>
    </cfRule>
  </conditionalFormatting>
  <conditionalFormatting sqref="D3:D101">
    <cfRule type="containsText" priority="29" operator="containsText" aboveAverage="0" equalAverage="0" bottom="0" percent="0" rank="0" text="1.8" dxfId="11">
      <formula>NOT(ISERROR(SEARCH("1.8",D3)))</formula>
    </cfRule>
  </conditionalFormatting>
  <conditionalFormatting sqref="D3:D82">
    <cfRule type="containsText" priority="30" operator="containsText" aboveAverage="0" equalAverage="0" bottom="0" percent="0" rank="0" text="1.4" dxfId="10">
      <formula>NOT(ISERROR(SEARCH("1.4",D3)))</formula>
    </cfRule>
  </conditionalFormatting>
  <conditionalFormatting sqref="D3:D101">
    <cfRule type="containsText" priority="31" operator="containsText" aboveAverage="0" equalAverage="0" bottom="0" percent="0" rank="0" text="1.8" dxfId="11">
      <formula>NOT(ISERROR(SEARCH("1.8",D3)))</formula>
    </cfRule>
  </conditionalFormatting>
  <conditionalFormatting sqref="D3:D82">
    <cfRule type="containsText" priority="32" operator="containsText" aboveAverage="0" equalAverage="0" bottom="0" percent="0" rank="0" text="1.4" dxfId="10">
      <formula>NOT(ISERROR(SEARCH("1.4",D3)))</formula>
    </cfRule>
  </conditionalFormatting>
  <conditionalFormatting sqref="D3:D101">
    <cfRule type="containsText" priority="33" operator="containsText" aboveAverage="0" equalAverage="0" bottom="0" percent="0" rank="0" text="1.8" dxfId="11">
      <formula>NOT(ISERROR(SEARCH("1.8",D3)))</formula>
    </cfRule>
  </conditionalFormatting>
  <conditionalFormatting sqref="D3:D82">
    <cfRule type="containsText" priority="34" operator="containsText" aboveAverage="0" equalAverage="0" bottom="0" percent="0" rank="0" text="1.4" dxfId="10">
      <formula>NOT(ISERROR(SEARCH("1.4",D3)))</formula>
    </cfRule>
  </conditionalFormatting>
  <conditionalFormatting sqref="D3:D101">
    <cfRule type="containsText" priority="35" operator="containsText" aboveAverage="0" equalAverage="0" bottom="0" percent="0" rank="0" text="1.8" dxfId="11">
      <formula>NOT(ISERROR(SEARCH("1.8",D3)))</formula>
    </cfRule>
  </conditionalFormatting>
  <conditionalFormatting sqref="D3:D82">
    <cfRule type="containsText" priority="36" operator="containsText" aboveAverage="0" equalAverage="0" bottom="0" percent="0" rank="0" text="1.4" dxfId="10">
      <formula>NOT(ISERROR(SEARCH("1.4",D3)))</formula>
    </cfRule>
  </conditionalFormatting>
  <conditionalFormatting sqref="D3:D101">
    <cfRule type="containsText" priority="37" operator="containsText" aboveAverage="0" equalAverage="0" bottom="0" percent="0" rank="0" text="1.8" dxfId="11">
      <formula>NOT(ISERROR(SEARCH("1.8",D3)))</formula>
    </cfRule>
  </conditionalFormatting>
  <conditionalFormatting sqref="D3:D82">
    <cfRule type="containsText" priority="38" operator="containsText" aboveAverage="0" equalAverage="0" bottom="0" percent="0" rank="0" text="1.4" dxfId="10">
      <formula>NOT(ISERROR(SEARCH("1.4",D3)))</formula>
    </cfRule>
  </conditionalFormatting>
  <conditionalFormatting sqref="D3:D101">
    <cfRule type="containsText" priority="39" operator="containsText" aboveAverage="0" equalAverage="0" bottom="0" percent="0" rank="0" text="1.8" dxfId="11">
      <formula>NOT(ISERROR(SEARCH("1.8",D3)))</formula>
    </cfRule>
  </conditionalFormatting>
  <conditionalFormatting sqref="D3:D82">
    <cfRule type="containsText" priority="40" operator="containsText" aboveAverage="0" equalAverage="0" bottom="0" percent="0" rank="0" text="1.4" dxfId="10">
      <formula>NOT(ISERROR(SEARCH("1.4",D3)))</formula>
    </cfRule>
  </conditionalFormatting>
  <conditionalFormatting sqref="D3:D101">
    <cfRule type="containsText" priority="41" operator="containsText" aboveAverage="0" equalAverage="0" bottom="0" percent="0" rank="0" text="1.8" dxfId="11">
      <formula>NOT(ISERROR(SEARCH("1.8",D3)))</formula>
    </cfRule>
  </conditionalFormatting>
  <conditionalFormatting sqref="D3:D82">
    <cfRule type="containsText" priority="42" operator="containsText" aboveAverage="0" equalAverage="0" bottom="0" percent="0" rank="0" text="1.4" dxfId="10">
      <formula>NOT(ISERROR(SEARCH("1.4",D3)))</formula>
    </cfRule>
  </conditionalFormatting>
  <conditionalFormatting sqref="D3:D101">
    <cfRule type="containsText" priority="43" operator="containsText" aboveAverage="0" equalAverage="0" bottom="0" percent="0" rank="0" text="1.8" dxfId="11">
      <formula>NOT(ISERROR(SEARCH("1.8",D3)))</formula>
    </cfRule>
  </conditionalFormatting>
  <conditionalFormatting sqref="D3:D82">
    <cfRule type="containsText" priority="44" operator="containsText" aboveAverage="0" equalAverage="0" bottom="0" percent="0" rank="0" text="1.4" dxfId="10">
      <formula>NOT(ISERROR(SEARCH("1.4",D3)))</formula>
    </cfRule>
  </conditionalFormatting>
  <conditionalFormatting sqref="D3:D101">
    <cfRule type="containsText" priority="45" operator="containsText" aboveAverage="0" equalAverage="0" bottom="0" percent="0" rank="0" text="1.8" dxfId="11">
      <formula>NOT(ISERROR(SEARCH("1.8",D3)))</formula>
    </cfRule>
  </conditionalFormatting>
  <conditionalFormatting sqref="D3:D82">
    <cfRule type="containsText" priority="46" operator="containsText" aboveAverage="0" equalAverage="0" bottom="0" percent="0" rank="0" text="1.4" dxfId="10">
      <formula>NOT(ISERROR(SEARCH("1.4",D3)))</formula>
    </cfRule>
  </conditionalFormatting>
  <conditionalFormatting sqref="D3:D101">
    <cfRule type="containsText" priority="47" operator="containsText" aboveAverage="0" equalAverage="0" bottom="0" percent="0" rank="0" text="1.8" dxfId="11">
      <formula>NOT(ISERROR(SEARCH("1.8",D3)))</formula>
    </cfRule>
  </conditionalFormatting>
  <conditionalFormatting sqref="A3:A100">
    <cfRule type="expression" priority="48" aboveAverage="0" equalAverage="0" bottom="0" percent="0" rank="0" text="" dxfId="12">
      <formula>(TODAY()-T3)&lt;0</formula>
    </cfRule>
  </conditionalFormatting>
  <conditionalFormatting sqref="A3:A100">
    <cfRule type="expression" priority="49" aboveAverage="0" equalAverage="0" bottom="0" percent="0" rank="0" text="" dxfId="9">
      <formula>(TODAY()-T3)&lt;180</formula>
    </cfRule>
  </conditionalFormatting>
  <conditionalFormatting sqref="G3:G102">
    <cfRule type="cellIs" priority="50" operator="equal" aboveAverage="0" equalAverage="0" bottom="0" percent="0" rank="0" text="" dxfId="12">
      <formula>"MF"</formula>
    </cfRule>
  </conditionalFormatting>
  <conditionalFormatting sqref="I3:I102">
    <cfRule type="cellIs" priority="51" operator="between" aboveAverage="0" equalAverage="0" bottom="0" percent="0" rank="0" text="" dxfId="13">
      <formula>0.24</formula>
      <formula>0.45</formula>
    </cfRule>
  </conditionalFormatting>
  <conditionalFormatting sqref="I3:I102">
    <cfRule type="cellIs" priority="52" operator="between" aboveAverage="0" equalAverage="0" bottom="0" percent="0" rank="0" text="" dxfId="14">
      <formula>0.45</formula>
      <formula>0.99</formula>
    </cfRule>
  </conditionalFormatting>
  <conditionalFormatting sqref="I3:I102">
    <cfRule type="cellIs" priority="53"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 S4 N5 S6:S8 N9 S10:S15 N16:N17 S18 N19:N21 S22:S29 N30 S31:S38 N39 S40:S41 N42 S43:S44 N45 S46:S49 N50 S51:S54 N55 S56:S57 N58 S59:S67 N68 S69 N70 S71:S75 N76 S77:S82 N1064:N1226" type="list">
      <formula1>"Sony,Voigtlander,Zeiss,Sigma,Samyang,Viltrox,Tokina,Tamron"</formula1>
      <formula2>0</formula2>
    </dataValidation>
  </dataValidations>
  <hyperlinks>
    <hyperlink ref="K1" r:id="rId1" display="Amazon.com"/>
    <hyperlink ref="M1" r:id="rId2" display="Amazon.de"/>
    <hyperlink ref="N1" r:id="rId3" display="Ebay.com"/>
    <hyperlink ref="U9" r:id="rId4" display="link*"/>
    <hyperlink ref="S20" r:id="rId5" display="link*"/>
    <hyperlink ref="U20" r:id="rId6" display="link*"/>
    <hyperlink ref="R1097" r:id="rId7" display="link*"/>
    <hyperlink ref="R1126" r:id="rId8" display="link*"/>
    <hyperlink ref="U1141" r:id="rId9" display="link*"/>
    <hyperlink ref="S1143" r:id="rId10" display="link*"/>
    <hyperlink ref="S1153" r:id="rId11" display="link*"/>
    <hyperlink ref="R1156" r:id="rId12" display="link*"/>
    <hyperlink ref="S1156" r:id="rId13" display="link*"/>
    <hyperlink ref="T1156" r:id="rId14" display="link*"/>
    <hyperlink ref="U1156" r:id="rId15" display="link*"/>
    <hyperlink ref="R1158" r:id="rId16" display="link*"/>
    <hyperlink ref="S1158" r:id="rId17" display="link*"/>
    <hyperlink ref="S1159" r:id="rId18" display="link*"/>
    <hyperlink ref="R1165" r:id="rId19" display="link*"/>
    <hyperlink ref="S1165" r:id="rId20" display="link*"/>
    <hyperlink ref="T1165" r:id="rId21" display="link*"/>
    <hyperlink ref="R1167" r:id="rId22" display="link*"/>
    <hyperlink ref="S1167" r:id="rId23" display="link*"/>
    <hyperlink ref="U1167" r:id="rId24" display="link*"/>
    <hyperlink ref="S1169" r:id="rId25" display="link*"/>
    <hyperlink ref="T1170" r:id="rId26" display="link*"/>
    <hyperlink ref="R1174" r:id="rId27" display="link*"/>
    <hyperlink ref="T1175" r:id="rId28" display="link*"/>
    <hyperlink ref="T1177" r:id="rId29" display="link*"/>
    <hyperlink ref="S1180" r:id="rId30" display="link*"/>
    <hyperlink ref="S1192" r:id="rId31" display="link*"/>
    <hyperlink ref="T1193" r:id="rId32" display="link*"/>
    <hyperlink ref="S1195" r:id="rId33" display="link*"/>
    <hyperlink ref="R1197" r:id="rId34" display="link*"/>
    <hyperlink ref="S1197" r:id="rId35" display="link*"/>
    <hyperlink ref="T1197" r:id="rId36" display="link*"/>
    <hyperlink ref="U1197" r:id="rId37" display="link*"/>
    <hyperlink ref="R1199" r:id="rId38" display="link*"/>
    <hyperlink ref="S1199" r:id="rId39" display="link*"/>
    <hyperlink ref="T1199" r:id="rId40" display="link*"/>
    <hyperlink ref="S1205" r:id="rId41" display="link*"/>
    <hyperlink ref="S1211" r:id="rId42" display="link*"/>
    <hyperlink ref="S1216" r:id="rId43" display="link*"/>
    <hyperlink ref="A1217" r:id="rId44" display="Sony GM 4.5-5.6/100-400 OSS"/>
    <hyperlink ref="A1223" r:id="rId45" display="Zeiss Batis 2.8/135 APO"/>
    <hyperlink ref="R1224" r:id="rId46"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8.13"/>
    <col collapsed="false" customWidth="true" hidden="false" outlineLevel="0" max="2" min="2" style="0" width="4.63"/>
    <col collapsed="false" customWidth="true" hidden="false" outlineLevel="0" max="3" min="3" style="0" width="5.51"/>
    <col collapsed="false" customWidth="true" hidden="false" outlineLevel="0" max="4" min="4" style="0" width="6.38"/>
    <col collapsed="false" customWidth="true" hidden="false" outlineLevel="0" max="5" min="5" style="0" width="5.51"/>
    <col collapsed="false" customWidth="true" hidden="false" outlineLevel="0" max="6" min="6" style="0" width="5.13"/>
    <col collapsed="false" customWidth="true" hidden="false" outlineLevel="0" max="7" min="7" style="0" width="6.75"/>
    <col collapsed="false" customWidth="true" hidden="false" outlineLevel="0" max="9" min="8" style="0" width="4.88"/>
    <col collapsed="false" customWidth="true" hidden="false" outlineLevel="0" max="10" min="10" style="0" width="5.13"/>
    <col collapsed="false" customWidth="true" hidden="false" outlineLevel="0" max="12" min="11" style="0" width="6.75"/>
  </cols>
  <sheetData>
    <row r="1" customFormat="false" ht="15.75" hidden="false" customHeight="false" outlineLevel="0" collapsed="false">
      <c r="A1" s="394" t="s">
        <v>0</v>
      </c>
      <c r="B1" s="395" t="s">
        <v>1</v>
      </c>
      <c r="C1" s="396" t="s">
        <v>4</v>
      </c>
      <c r="D1" s="397" t="s">
        <v>5</v>
      </c>
      <c r="E1" s="398" t="s">
        <v>7</v>
      </c>
      <c r="F1" s="399" t="s">
        <v>8</v>
      </c>
      <c r="G1" s="400" t="s">
        <v>9</v>
      </c>
      <c r="H1" s="400" t="s">
        <v>11</v>
      </c>
      <c r="I1" s="400" t="s">
        <v>12</v>
      </c>
      <c r="J1" s="399" t="s">
        <v>14</v>
      </c>
      <c r="K1" s="401" t="s">
        <v>15</v>
      </c>
      <c r="L1" s="401" t="s">
        <v>276</v>
      </c>
    </row>
    <row r="2" customFormat="false" ht="15.75" hidden="false" customHeight="false" outlineLevel="0" collapsed="false">
      <c r="A2" s="402" t="s">
        <v>277</v>
      </c>
      <c r="B2" s="403" t="n">
        <v>162</v>
      </c>
      <c r="C2" s="404" t="n">
        <v>62</v>
      </c>
      <c r="D2" s="405" t="n">
        <v>56</v>
      </c>
      <c r="E2" s="406" t="s">
        <v>80</v>
      </c>
      <c r="F2" s="406" t="n">
        <v>0.12</v>
      </c>
      <c r="G2" s="407" t="n">
        <v>45</v>
      </c>
      <c r="H2" s="406" t="n">
        <v>9</v>
      </c>
      <c r="I2" s="408" t="n">
        <v>43623</v>
      </c>
      <c r="J2" s="409" t="n">
        <v>43647</v>
      </c>
      <c r="K2" s="410" t="n">
        <v>399</v>
      </c>
      <c r="L2" s="410" t="n">
        <v>300</v>
      </c>
    </row>
    <row r="3" customFormat="false" ht="15.75" hidden="false" customHeight="false" outlineLevel="0" collapsed="false">
      <c r="A3" s="411" t="s">
        <v>278</v>
      </c>
      <c r="B3" s="412" t="n">
        <v>215</v>
      </c>
      <c r="C3" s="413" t="n">
        <v>64</v>
      </c>
      <c r="D3" s="414" t="n">
        <v>46</v>
      </c>
      <c r="E3" s="415" t="s">
        <v>78</v>
      </c>
      <c r="F3" s="416" t="n">
        <v>0.25</v>
      </c>
      <c r="G3" s="417" t="n">
        <v>24</v>
      </c>
      <c r="H3" s="415" t="n">
        <v>7</v>
      </c>
      <c r="I3" s="418" t="n">
        <v>43654</v>
      </c>
      <c r="J3" s="419" t="n">
        <v>43647</v>
      </c>
      <c r="K3" s="420" t="n">
        <v>549</v>
      </c>
      <c r="L3" s="421" t="s">
        <v>36</v>
      </c>
    </row>
    <row r="4" customFormat="false" ht="15.75" hidden="true" customHeight="false" outlineLevel="0" collapsed="false"/>
    <row r="5" customFormat="false" ht="15.75" hidden="false" customHeight="false" outlineLevel="0" collapsed="false">
      <c r="A5" s="422" t="s">
        <v>279</v>
      </c>
      <c r="B5" s="423" t="n">
        <v>778</v>
      </c>
      <c r="C5" s="424" t="n">
        <v>84</v>
      </c>
      <c r="D5" s="425" t="n">
        <v>108</v>
      </c>
      <c r="E5" s="426" t="s">
        <v>49</v>
      </c>
      <c r="F5" s="426" t="n">
        <v>0.15</v>
      </c>
      <c r="G5" s="427" t="n">
        <v>45</v>
      </c>
      <c r="H5" s="426" t="n">
        <v>11</v>
      </c>
      <c r="I5" s="428" t="n">
        <v>43720</v>
      </c>
      <c r="J5" s="429" t="n">
        <v>42583</v>
      </c>
      <c r="K5" s="430" t="n">
        <v>1499</v>
      </c>
      <c r="L5" s="430" t="n">
        <v>1000</v>
      </c>
    </row>
    <row r="6" customFormat="false" ht="15.75" hidden="false" customHeight="false" outlineLevel="0" collapsed="false">
      <c r="A6" s="422" t="s">
        <v>280</v>
      </c>
      <c r="B6" s="431" t="n">
        <v>910</v>
      </c>
      <c r="C6" s="432" t="n">
        <v>85</v>
      </c>
      <c r="D6" s="433" t="n">
        <v>125.9</v>
      </c>
      <c r="E6" s="426" t="s">
        <v>57</v>
      </c>
      <c r="F6" s="426" t="n">
        <v>0.18</v>
      </c>
      <c r="G6" s="427" t="n">
        <v>40</v>
      </c>
      <c r="H6" s="426" t="n">
        <v>9</v>
      </c>
      <c r="I6" s="428" t="n">
        <v>43690</v>
      </c>
      <c r="J6" s="429" t="n">
        <v>43221</v>
      </c>
      <c r="K6" s="430" t="n">
        <v>949</v>
      </c>
      <c r="L6" s="430" t="n">
        <v>650</v>
      </c>
    </row>
    <row r="7" customFormat="false" ht="15.75" hidden="false" customHeight="false" outlineLevel="0" collapsed="false">
      <c r="A7" s="422" t="s">
        <v>281</v>
      </c>
      <c r="B7" s="434" t="n">
        <v>585</v>
      </c>
      <c r="C7" s="435" t="n">
        <v>74</v>
      </c>
      <c r="D7" s="436" t="n">
        <v>98</v>
      </c>
      <c r="E7" s="426" t="s">
        <v>54</v>
      </c>
      <c r="F7" s="426" t="n">
        <v>0.15</v>
      </c>
      <c r="G7" s="427" t="n">
        <v>45</v>
      </c>
      <c r="H7" s="426" t="n">
        <v>9</v>
      </c>
      <c r="I7" s="428" t="n">
        <v>43686</v>
      </c>
      <c r="J7" s="429" t="n">
        <v>42583</v>
      </c>
      <c r="K7" s="430" t="n">
        <v>699</v>
      </c>
      <c r="L7" s="430" t="n">
        <v>365</v>
      </c>
    </row>
    <row r="8" customFormat="false" ht="15.75" hidden="false" customHeight="false" outlineLevel="0" collapsed="false">
      <c r="A8" s="437" t="str">
        <f aca="false">HYPERLINK("https://phillipreeve.net/blog/review-sony-fe-1-850/","Sony FE 
50mm F1.8")</f>
        <v>Sony FE 
50mm F1.8</v>
      </c>
      <c r="B8" s="438" t="n">
        <v>186</v>
      </c>
      <c r="C8" s="439" t="n">
        <v>69</v>
      </c>
      <c r="D8" s="440" t="n">
        <v>60</v>
      </c>
      <c r="E8" s="426" t="s">
        <v>80</v>
      </c>
      <c r="F8" s="426" t="n">
        <v>0.14</v>
      </c>
      <c r="G8" s="427" t="n">
        <v>45</v>
      </c>
      <c r="H8" s="426" t="n">
        <v>7</v>
      </c>
      <c r="I8" s="428" t="n">
        <v>43591</v>
      </c>
      <c r="J8" s="429" t="n">
        <v>42430</v>
      </c>
      <c r="K8" s="441" t="n">
        <v>249</v>
      </c>
      <c r="L8" s="441" t="n">
        <v>165</v>
      </c>
    </row>
    <row r="9" customFormat="false" ht="15.75" hidden="true" customHeight="false" outlineLevel="0" collapsed="false"/>
    <row r="10" customFormat="false" ht="15.75" hidden="false" customHeight="false" outlineLevel="0" collapsed="false">
      <c r="A10" s="442" t="str">
        <f aca="false">HYPERLINK("https://phillipreeve.net/blog/rolling-review-sony-fe-2-850-macro/","Sony FE 
50mm F/2.8 Macro")</f>
        <v>Sony FE 
50mm F/2.8 Macro</v>
      </c>
      <c r="B10" s="412" t="n">
        <v>236</v>
      </c>
      <c r="C10" s="443" t="n">
        <v>72</v>
      </c>
      <c r="D10" s="444" t="n">
        <v>71</v>
      </c>
      <c r="E10" s="415" t="s">
        <v>78</v>
      </c>
      <c r="F10" s="445" t="n">
        <v>1</v>
      </c>
      <c r="G10" s="417" t="n">
        <v>16</v>
      </c>
      <c r="H10" s="415" t="n">
        <v>7</v>
      </c>
      <c r="I10" s="418" t="n">
        <v>43654</v>
      </c>
      <c r="J10" s="419" t="n">
        <v>42614</v>
      </c>
      <c r="K10" s="446" t="n">
        <v>499</v>
      </c>
      <c r="L10" s="446" t="n">
        <v>350</v>
      </c>
    </row>
    <row r="11" customFormat="false" ht="15.75" hidden="false" customHeight="false" outlineLevel="0" collapsed="false">
      <c r="A11" s="442" t="str">
        <f aca="false">HYPERLINK("https://phillipreeve.net/blog/sony-fe-1-855-za-sonnar-t-review/","Sony ZA 
55mm F1.8 Sonnar")</f>
        <v>Sony ZA 
55mm F1.8 Sonnar</v>
      </c>
      <c r="B11" s="412" t="n">
        <v>281</v>
      </c>
      <c r="C11" s="413" t="n">
        <v>64</v>
      </c>
      <c r="D11" s="444" t="n">
        <v>71</v>
      </c>
      <c r="E11" s="415" t="s">
        <v>80</v>
      </c>
      <c r="F11" s="415" t="n">
        <v>0.14</v>
      </c>
      <c r="G11" s="417" t="n">
        <v>50</v>
      </c>
      <c r="H11" s="415" t="n">
        <v>9</v>
      </c>
      <c r="I11" s="418" t="n">
        <v>43592</v>
      </c>
      <c r="J11" s="419" t="n">
        <v>41548</v>
      </c>
      <c r="K11" s="420" t="n">
        <v>999</v>
      </c>
      <c r="L11" s="420" t="n">
        <v>625</v>
      </c>
    </row>
    <row r="12" customFormat="false" ht="15.75" hidden="false" customHeight="false" outlineLevel="0" collapsed="false">
      <c r="A12" s="394" t="s">
        <v>0</v>
      </c>
      <c r="B12" s="395" t="s">
        <v>1</v>
      </c>
      <c r="C12" s="396" t="s">
        <v>4</v>
      </c>
      <c r="D12" s="397" t="s">
        <v>5</v>
      </c>
      <c r="E12" s="398" t="s">
        <v>7</v>
      </c>
      <c r="F12" s="399" t="s">
        <v>8</v>
      </c>
      <c r="G12" s="400" t="s">
        <v>9</v>
      </c>
      <c r="H12" s="400" t="s">
        <v>11</v>
      </c>
      <c r="I12" s="400" t="s">
        <v>12</v>
      </c>
      <c r="J12" s="399" t="s">
        <v>14</v>
      </c>
      <c r="K12" s="401" t="s">
        <v>15</v>
      </c>
      <c r="L12" s="401" t="s">
        <v>276</v>
      </c>
    </row>
    <row r="13" customFormat="false" ht="15.75" hidden="false" customHeight="false" outlineLevel="0" collapsed="false">
      <c r="A13" s="437" t="str">
        <f aca="false">HYPERLINK("https://phillipreeve.net/blog/review-voigtlander-50mm-1-2-nokton-e/","Voigtlander 
50mm F1.2 Nokton")</f>
        <v>Voigtlander 
50mm F1.2 Nokton</v>
      </c>
      <c r="B13" s="434" t="n">
        <v>440</v>
      </c>
      <c r="C13" s="447" t="n">
        <v>70</v>
      </c>
      <c r="D13" s="448" t="n">
        <v>58</v>
      </c>
      <c r="E13" s="426" t="s">
        <v>48</v>
      </c>
      <c r="F13" s="426" t="n">
        <v>0.15</v>
      </c>
      <c r="G13" s="427" t="n">
        <v>45</v>
      </c>
      <c r="H13" s="426" t="n">
        <v>12</v>
      </c>
      <c r="I13" s="428" t="n">
        <v>43624</v>
      </c>
      <c r="J13" s="429" t="n">
        <v>43556</v>
      </c>
      <c r="K13" s="430" t="n">
        <v>1099</v>
      </c>
      <c r="L13" s="449" t="s">
        <v>36</v>
      </c>
    </row>
    <row r="14" customFormat="false" ht="15.75" hidden="false" customHeight="false" outlineLevel="0" collapsed="false">
      <c r="A14" s="450" t="str">
        <f aca="false">HYPERLINK("https://docs.google.com/document/d/115s6JHR9S4pBUesKJEkgWeoP8rcGbT31p6fQSg5SFQM/edit?usp=sharing","Voigtlander 50mm F2
 APO-Lanthar")</f>
        <v>Voigtlander 50mm F2
 APO-Lanthar</v>
      </c>
      <c r="B14" s="451" t="n">
        <v>364</v>
      </c>
      <c r="C14" s="452" t="n">
        <v>63</v>
      </c>
      <c r="D14" s="440" t="n">
        <v>61</v>
      </c>
      <c r="E14" s="426" t="s">
        <v>80</v>
      </c>
      <c r="F14" s="426" t="n">
        <v>0.156</v>
      </c>
      <c r="G14" s="427" t="n">
        <v>45</v>
      </c>
      <c r="H14" s="426" t="n">
        <v>12</v>
      </c>
      <c r="I14" s="428" t="n">
        <v>43687</v>
      </c>
      <c r="J14" s="429" t="n">
        <v>43811</v>
      </c>
      <c r="K14" s="430" t="n">
        <v>1049</v>
      </c>
      <c r="L14" s="449" t="s">
        <v>36</v>
      </c>
    </row>
    <row r="15" customFormat="false" ht="15.75" hidden="false" customHeight="false" outlineLevel="0" collapsed="false">
      <c r="A15" s="437" t="str">
        <f aca="false">HYPERLINK("https://phillipreeve.net/blog/review-zeiss-loxia-planar-250-t/","Zeiss Loxia 
50mm F2")</f>
        <v>Zeiss Loxia 
50mm F2</v>
      </c>
      <c r="B15" s="451" t="n">
        <v>320</v>
      </c>
      <c r="C15" s="452" t="n">
        <v>62</v>
      </c>
      <c r="D15" s="440" t="n">
        <v>60</v>
      </c>
      <c r="E15" s="426" t="s">
        <v>73</v>
      </c>
      <c r="F15" s="426" t="n">
        <v>0.15</v>
      </c>
      <c r="G15" s="427" t="n">
        <v>45</v>
      </c>
      <c r="H15" s="426" t="n">
        <v>10</v>
      </c>
      <c r="I15" s="428" t="n">
        <v>43561</v>
      </c>
      <c r="J15" s="429" t="n">
        <v>41913</v>
      </c>
      <c r="K15" s="430" t="n">
        <v>949</v>
      </c>
      <c r="L15" s="430" t="n">
        <v>500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D4" activeCellId="0" sqref="D4"/>
    </sheetView>
  </sheetViews>
  <sheetFormatPr defaultColWidth="12.6328125" defaultRowHeight="15.75" zeroHeight="false" outlineLevelRow="0" outlineLevelCol="0"/>
  <cols>
    <col collapsed="false" customWidth="true" hidden="false" outlineLevel="0" max="2" min="1" style="0" width="3.5"/>
    <col collapsed="false" customWidth="true" hidden="false" outlineLevel="0" max="3" min="3" style="0" width="25.51"/>
    <col collapsed="false" customWidth="true" hidden="false" outlineLevel="0" max="4" min="4" style="0" width="5.75"/>
    <col collapsed="false" customWidth="true" hidden="false" outlineLevel="0" max="5" min="5" style="0" width="7.12"/>
    <col collapsed="false" customWidth="true" hidden="false" outlineLevel="0" max="6" min="6" style="0" width="7"/>
    <col collapsed="false" customWidth="true" hidden="false" outlineLevel="0" max="8" min="7" style="0" width="6.38"/>
    <col collapsed="false" customWidth="true" hidden="false" outlineLevel="0" max="9" min="9" style="0" width="3.5"/>
    <col collapsed="false" customWidth="true" hidden="false" outlineLevel="0" max="10" min="10" style="0" width="6.25"/>
    <col collapsed="false" customWidth="true" hidden="false" outlineLevel="0" max="11" min="11" style="0" width="3.88"/>
    <col collapsed="false" customWidth="true" hidden="false" outlineLevel="0" max="12" min="12" style="0" width="6.63"/>
    <col collapsed="false" customWidth="true" hidden="false" outlineLevel="0" max="13" min="13" style="0" width="4.75"/>
    <col collapsed="false" customWidth="true" hidden="false" outlineLevel="0" max="14" min="14" style="0" width="4.38"/>
    <col collapsed="false" customWidth="true" hidden="false" outlineLevel="0" max="15" min="15" style="0" width="5.38"/>
    <col collapsed="false" customWidth="true" hidden="false" outlineLevel="0" max="16" min="16" style="0" width="11.63"/>
    <col collapsed="false" customWidth="true" hidden="false" outlineLevel="0" max="17" min="17" style="0" width="6.51"/>
    <col collapsed="false" customWidth="true" hidden="false" outlineLevel="0" max="19" min="18" style="0" width="6.75"/>
    <col collapsed="false" customWidth="true" hidden="false" outlineLevel="0" max="23" min="20" style="0" width="3.5"/>
    <col collapsed="false" customWidth="true" hidden="false" outlineLevel="0" max="24" min="24" style="0" width="6.51"/>
  </cols>
  <sheetData>
    <row r="1" customFormat="false" ht="76.5" hidden="false" customHeight="true" outlineLevel="0" collapsed="false">
      <c r="A1" s="294"/>
      <c r="B1" s="294"/>
      <c r="C1" s="1" t="s">
        <v>0</v>
      </c>
      <c r="D1" s="2" t="s">
        <v>1</v>
      </c>
      <c r="E1" s="3" t="s">
        <v>2</v>
      </c>
      <c r="F1" s="4" t="s">
        <v>3</v>
      </c>
      <c r="G1" s="5" t="s">
        <v>4</v>
      </c>
      <c r="H1" s="6" t="s">
        <v>5</v>
      </c>
      <c r="I1" s="7" t="s">
        <v>6</v>
      </c>
      <c r="J1" s="8" t="s">
        <v>7</v>
      </c>
      <c r="K1" s="3" t="s">
        <v>8</v>
      </c>
      <c r="L1" s="3" t="s">
        <v>9</v>
      </c>
      <c r="M1" s="10" t="s">
        <v>10</v>
      </c>
      <c r="N1" s="3" t="s">
        <v>11</v>
      </c>
      <c r="O1" s="3" t="s">
        <v>12</v>
      </c>
      <c r="P1" s="3" t="s">
        <v>13</v>
      </c>
      <c r="Q1" s="3" t="s">
        <v>14</v>
      </c>
      <c r="R1" s="14" t="s">
        <v>15</v>
      </c>
      <c r="S1" s="14" t="s">
        <v>276</v>
      </c>
      <c r="T1" s="16" t="s">
        <v>17</v>
      </c>
      <c r="U1" s="17" t="s">
        <v>18</v>
      </c>
      <c r="V1" s="16" t="s">
        <v>19</v>
      </c>
      <c r="W1" s="18" t="s">
        <v>20</v>
      </c>
      <c r="X1" s="19" t="s">
        <v>21</v>
      </c>
    </row>
    <row r="2" customFormat="false" ht="18" hidden="false" customHeight="true" outlineLevel="0" collapsed="false">
      <c r="A2" s="294"/>
      <c r="B2" s="294"/>
      <c r="C2" s="20" t="s">
        <v>194</v>
      </c>
      <c r="D2" s="21"/>
      <c r="E2" s="21"/>
      <c r="F2" s="21"/>
      <c r="G2" s="21"/>
      <c r="H2" s="21"/>
      <c r="I2" s="21"/>
      <c r="J2" s="22"/>
      <c r="K2" s="21"/>
      <c r="L2" s="21"/>
      <c r="M2" s="21"/>
      <c r="N2" s="21"/>
      <c r="O2" s="21"/>
      <c r="P2" s="23"/>
      <c r="Q2" s="21"/>
      <c r="R2" s="21"/>
      <c r="S2" s="21"/>
      <c r="T2" s="21"/>
      <c r="U2" s="21"/>
      <c r="V2" s="21"/>
      <c r="W2" s="21"/>
    </row>
    <row r="3" customFormat="false" ht="76.5" hidden="false" customHeight="true" outlineLevel="0" collapsed="false">
      <c r="A3" s="453"/>
      <c r="B3" s="453"/>
      <c r="C3" s="24" t="str">
        <f aca="false">HYPERLINK("https://phillipreeve.net/blog/review-voigtlander-10mm-5-6-e-hyper-wide-heliar/","Voigtlander 10mm F5.6 Hyper Wide ")</f>
        <v>Voigtlander 10mm F5.6 Hyper Wide </v>
      </c>
      <c r="D3" s="25" t="n">
        <v>375</v>
      </c>
      <c r="E3" s="26" t="n">
        <v>10</v>
      </c>
      <c r="F3" s="27" t="n">
        <v>5.6</v>
      </c>
      <c r="G3" s="28" t="n">
        <v>67</v>
      </c>
      <c r="H3" s="29" t="s">
        <v>23</v>
      </c>
      <c r="I3" s="30" t="s">
        <v>24</v>
      </c>
      <c r="J3" s="31" t="s">
        <v>25</v>
      </c>
      <c r="K3" s="32" t="n">
        <v>0.067</v>
      </c>
      <c r="L3" s="33" t="n">
        <v>30</v>
      </c>
      <c r="M3" s="30" t="s">
        <v>26</v>
      </c>
      <c r="N3" s="32" t="n">
        <v>10</v>
      </c>
      <c r="O3" s="34" t="s">
        <v>27</v>
      </c>
      <c r="P3" s="32" t="s">
        <v>28</v>
      </c>
      <c r="Q3" s="35" t="n">
        <v>42552</v>
      </c>
      <c r="R3" s="36" t="n">
        <v>1099</v>
      </c>
      <c r="S3" s="36" t="s">
        <v>36</v>
      </c>
      <c r="T3" s="37" t="str">
        <f aca="false">HYPERLINK("https://amzn.to/2jJ8WxH","link*")</f>
        <v>link*</v>
      </c>
      <c r="U3" s="37" t="str">
        <f aca="false">HYPERLINK("https://www.bhphotovideo.com/c/product/1219550-REG/voigtlander_ba334b_heliar_hyper_wide_10mm_f_5_6.html/BI/19619/KBID/12129/DFF/d10-v21-t1-x732282/SID/EZ","link*")</f>
        <v>link*</v>
      </c>
      <c r="V3" s="37" t="str">
        <f aca="false">HYPERLINK("https://amzn.to/2jG72hr","link*")</f>
        <v>link*</v>
      </c>
      <c r="W3" s="37" t="str">
        <f aca="false">HYPERLINK("http://rover.ebay.com/rover/1/711-53200-19255-0/1?icep_ff3=9&amp;pub=5575076376&amp;toolid=10001&amp;campid=5338573609&amp;customid=&amp;icep_uq=Voigtlander+Sony+10mm+5.6+&amp;icep_sellerId=&amp;icep_ex_kw=&amp;icep_sortBy=12&amp;icep_catId=3323&amp;icep_minPrice=&amp;icep_maxPrice=&amp;ipn=psmain&amp;icep"&amp;"_vectorid=229466&amp;kwid=902099&amp;mtid=824&amp;kw=lg","link*")</f>
        <v>link*</v>
      </c>
      <c r="X3" s="38" t="s">
        <v>282</v>
      </c>
    </row>
    <row r="4" customFormat="false" ht="18" hidden="false" customHeight="true" outlineLevel="0" collapsed="false">
      <c r="A4" s="20"/>
      <c r="B4" s="20"/>
      <c r="C4" s="39" t="s">
        <v>29</v>
      </c>
      <c r="D4" s="40" t="n">
        <v>565</v>
      </c>
      <c r="E4" s="41" t="n">
        <v>12</v>
      </c>
      <c r="F4" s="42" t="n">
        <v>4</v>
      </c>
      <c r="G4" s="43" t="n">
        <v>87</v>
      </c>
      <c r="H4" s="44" t="n">
        <v>117</v>
      </c>
      <c r="I4" s="45" t="s">
        <v>30</v>
      </c>
      <c r="J4" s="46" t="s">
        <v>25</v>
      </c>
      <c r="K4" s="47" t="n">
        <v>0.14</v>
      </c>
      <c r="L4" s="48" t="n">
        <v>24</v>
      </c>
      <c r="M4" s="45" t="s">
        <v>26</v>
      </c>
      <c r="N4" s="47" t="n">
        <v>7</v>
      </c>
      <c r="O4" s="49" t="s">
        <v>31</v>
      </c>
      <c r="P4" s="47" t="s">
        <v>32</v>
      </c>
      <c r="Q4" s="50" t="n">
        <v>42856</v>
      </c>
      <c r="R4" s="51" t="n">
        <v>1699</v>
      </c>
      <c r="S4" s="51" t="n">
        <v>1250</v>
      </c>
      <c r="T4" s="52" t="str">
        <f aca="false">HYPERLINK("https://amzn.to/2SSzKc4","link*")</f>
        <v>link*</v>
      </c>
      <c r="U4" s="52" t="str">
        <f aca="false">HYPERLINK("https://www.bhphotovideo.com/c/product/1338517-REG/sony_sel1224g_fe_12_24mm_f_4_g.html/BI/19619/KBID/12129/DFF/d10-v21-t1-x822838/SID/EZ","link*")</f>
        <v>link*</v>
      </c>
      <c r="V4" s="52" t="str">
        <f aca="false">HYPERLINK("https://amzn.to/2Kg94zb","link*")</f>
        <v>link*</v>
      </c>
      <c r="W4" s="52" t="str">
        <f aca="false">HYPERLINK("http://rover.ebay.com/rover/1/711-53200-19255-0/1?icep_ff3=9&amp;pub=5575076376&amp;toolid=10001&amp;campid=5338573609&amp;customid=&amp;icep_uq=sony+12-24&amp;icep_sellerId=&amp;icep_ex_kw=&amp;icep_sortBy=12&amp;icep_catId=3323&amp;icep_minPrice=&amp;icep_maxPrice=&amp;ipn=psmain&amp;icep_vectorid=229466"&amp;"&amp;kwid=902099&amp;mtid=824&amp;kw=lg","link*")</f>
        <v>link*</v>
      </c>
    </row>
    <row r="5" customFormat="false" ht="15.75" hidden="false" customHeight="false" outlineLevel="0" collapsed="false">
      <c r="A5" s="454" t="b">
        <f aca="false">FALSE()</f>
        <v>0</v>
      </c>
      <c r="B5" s="455" t="b">
        <f aca="false">FALSE()</f>
        <v>0</v>
      </c>
      <c r="C5" s="24" t="str">
        <f aca="false">HYPERLINK("https://phillipreeve.net/blog/review-voigtlander-12mm-5-6-aspherical-ultra-wide-heliar/","Voigtlander 12mm F5.6 Ultra Wide-Heliar Aspherical")</f>
        <v>Voigtlander 12mm F5.6 Ultra Wide-Heliar Aspherical</v>
      </c>
      <c r="D5" s="25" t="n">
        <v>350</v>
      </c>
      <c r="E5" s="26" t="n">
        <v>12</v>
      </c>
      <c r="F5" s="27" t="n">
        <v>5.6</v>
      </c>
      <c r="G5" s="70" t="n">
        <v>67</v>
      </c>
      <c r="H5" s="29" t="n">
        <v>68</v>
      </c>
      <c r="I5" s="30" t="s">
        <v>24</v>
      </c>
      <c r="J5" s="31" t="s">
        <v>25</v>
      </c>
      <c r="K5" s="32"/>
      <c r="L5" s="33" t="n">
        <v>30</v>
      </c>
      <c r="M5" s="30" t="s">
        <v>26</v>
      </c>
      <c r="N5" s="32" t="n">
        <v>10</v>
      </c>
      <c r="O5" s="34" t="s">
        <v>38</v>
      </c>
      <c r="P5" s="32" t="s">
        <v>28</v>
      </c>
      <c r="Q5" s="35" t="n">
        <v>42583</v>
      </c>
      <c r="R5" s="36" t="n">
        <v>749</v>
      </c>
      <c r="S5" s="36" t="s">
        <v>36</v>
      </c>
      <c r="T5" s="71"/>
      <c r="U5" s="71"/>
      <c r="V5" s="71"/>
      <c r="W5" s="37" t="str">
        <f aca="false">HYPERLINK("http://rover.ebay.com/rover/1/711-53200-19255-0/1?icep_ff3=9&amp;pub=5575076376&amp;toolid=10001&amp;campid=5338573609&amp;customid=&amp;icep_uq=Voigtlander+Sony+12mm+5.6+&amp;icep_sellerId=&amp;icep_ex_kw=&amp;icep_sortBy=12&amp;icep_catId=3323&amp;icep_minPrice=&amp;icep_maxPrice=&amp;ipn=psmain&amp;icep"&amp;"_vectorid=229466&amp;kwid=902099&amp;mtid=824&amp;kw=lg","link*")</f>
        <v>link*</v>
      </c>
      <c r="X5" s="38" t="s">
        <v>39</v>
      </c>
    </row>
    <row r="6" customFormat="false" ht="15.75" hidden="false" customHeight="false" outlineLevel="0" collapsed="false">
      <c r="A6" s="454" t="b">
        <f aca="false">FALSE()</f>
        <v>0</v>
      </c>
      <c r="B6" s="455" t="b">
        <f aca="false">FALSE()</f>
        <v>0</v>
      </c>
      <c r="C6" s="39" t="s">
        <v>42</v>
      </c>
      <c r="D6" s="40" t="n">
        <v>1220</v>
      </c>
      <c r="E6" s="41" t="n">
        <v>14</v>
      </c>
      <c r="F6" s="76" t="n">
        <v>1.8</v>
      </c>
      <c r="G6" s="77" t="n">
        <v>95</v>
      </c>
      <c r="H6" s="78" t="n">
        <v>152</v>
      </c>
      <c r="I6" s="47" t="s">
        <v>30</v>
      </c>
      <c r="J6" s="46" t="s">
        <v>25</v>
      </c>
      <c r="K6" s="47" t="n">
        <v>0.1</v>
      </c>
      <c r="L6" s="48" t="n">
        <v>27</v>
      </c>
      <c r="M6" s="45" t="s">
        <v>26</v>
      </c>
      <c r="N6" s="47" t="n">
        <v>9</v>
      </c>
      <c r="O6" s="79" t="n">
        <v>43785</v>
      </c>
      <c r="P6" s="47" t="s">
        <v>43</v>
      </c>
      <c r="Q6" s="50" t="n">
        <v>43221</v>
      </c>
      <c r="R6" s="51" t="n">
        <v>1599</v>
      </c>
      <c r="S6" s="51" t="s">
        <v>36</v>
      </c>
      <c r="T6" s="52" t="str">
        <f aca="false">HYPERLINK("https://amzn.to/2SOWTvV","link*")</f>
        <v>link*</v>
      </c>
      <c r="U6" s="52" t="str">
        <f aca="false">HYPERLINK("https://www.bhphotovideo.com/c/product/1393489-REG/sigma_14mm_f_1_8_dg_hsm.html/BI/19619/KBID/12129/DFF/d10-v21-t1-x881154/SID/EZ","link*")</f>
        <v>link*</v>
      </c>
      <c r="V6" s="52" t="str">
        <f aca="false">HYPERLINK("https://amzn.to/2ZDl4QJ","link*")</f>
        <v>link*</v>
      </c>
      <c r="W6" s="52" t="str">
        <f aca="false">HYPERLINK("http://rover.ebay.com/rover/1/711-53200-19255-0/1?icep_ff3=9&amp;pub=5575076376&amp;toolid=10001&amp;campid=5338573609&amp;customid=&amp;icep_uq=sigma+14+1.8+sony&amp;icep_sellerId=&amp;icep_ex_kw=&amp;icep_sortBy=12&amp;icep_catId=3323&amp;icep_minPrice=&amp;icep_maxPrice=&amp;ipn=psmain&amp;icep_vectorid"&amp;"=229466&amp;kwid=902099&amp;mtid=824&amp;kw=lg","link*")</f>
        <v>link*</v>
      </c>
      <c r="X6" s="69" t="s">
        <v>260</v>
      </c>
    </row>
    <row r="7" customFormat="false" ht="15.75" hidden="false" customHeight="false" outlineLevel="0" collapsed="false">
      <c r="A7" s="454" t="b">
        <f aca="false">FALSE()</f>
        <v>0</v>
      </c>
      <c r="B7" s="455" t="b">
        <f aca="false">FALSE()</f>
        <v>0</v>
      </c>
      <c r="C7" s="80" t="s">
        <v>44</v>
      </c>
      <c r="D7" s="81" t="n">
        <v>795</v>
      </c>
      <c r="E7" s="82" t="n">
        <v>14</v>
      </c>
      <c r="F7" s="83" t="n">
        <v>2.8</v>
      </c>
      <c r="G7" s="84" t="n">
        <v>85</v>
      </c>
      <c r="H7" s="85" t="n">
        <v>131</v>
      </c>
      <c r="I7" s="86" t="s">
        <v>30</v>
      </c>
      <c r="J7" s="87" t="s">
        <v>25</v>
      </c>
      <c r="K7" s="86" t="n">
        <v>0.14</v>
      </c>
      <c r="L7" s="88" t="n">
        <v>28</v>
      </c>
      <c r="M7" s="89" t="s">
        <v>26</v>
      </c>
      <c r="N7" s="86" t="n">
        <v>11</v>
      </c>
      <c r="O7" s="90" t="s">
        <v>45</v>
      </c>
      <c r="P7" s="86" t="s">
        <v>43</v>
      </c>
      <c r="Q7" s="91" t="n">
        <v>43693</v>
      </c>
      <c r="R7" s="92" t="n">
        <v>1399</v>
      </c>
      <c r="S7" s="92" t="s">
        <v>36</v>
      </c>
      <c r="T7" s="93" t="str">
        <f aca="false">HYPERLINK("https://amzn.to/2zt8rMC","link*")</f>
        <v>link*</v>
      </c>
      <c r="U7" s="93" t="str">
        <f aca="false">HYPERLINK("https://www.bhphotovideo.com/c/product/1492972-REG/sigma_213965_14_24mm_f_2_8_dg_dn.html/BI/19619/KBID/12129/DFF/d10-v21-t1-x976041/SID/EZ","link*")</f>
        <v>link*</v>
      </c>
      <c r="V7" s="94" t="s">
        <v>33</v>
      </c>
      <c r="W7" s="93" t="str">
        <f aca="false">HYPERLINK("http://rover.ebay.com/rover/1/711-53200-19255-0/1?icep_ff3=9&amp;pub=5575076376&amp;toolid=10001&amp;campid=5338573609&amp;customid=&amp;icep_uq=sigma+14-24+2.8+sony&amp;icep_sellerId=&amp;icep_ex_kw=&amp;icep_sortBy=12&amp;icep_catId=3323&amp;icep_minPrice=&amp;icep_maxPrice=&amp;ipn=psmain&amp;icep_vecto"&amp;"rid=229466&amp;kwid=902099&amp;mtid=824&amp;kw=lg","link*")</f>
        <v>link*</v>
      </c>
      <c r="X7" s="69" t="s">
        <v>37</v>
      </c>
    </row>
    <row r="8" customFormat="false" ht="15.75" hidden="false" customHeight="false" outlineLevel="0" collapsed="false">
      <c r="A8" s="454" t="b">
        <f aca="false">FALSE()</f>
        <v>0</v>
      </c>
      <c r="B8" s="455" t="b">
        <f aca="false">FALSE()</f>
        <v>0</v>
      </c>
      <c r="C8" s="95" t="s">
        <v>46</v>
      </c>
      <c r="D8" s="25" t="n">
        <v>505</v>
      </c>
      <c r="E8" s="26" t="n">
        <v>14</v>
      </c>
      <c r="F8" s="27" t="n">
        <v>2.8</v>
      </c>
      <c r="G8" s="96" t="n">
        <v>86</v>
      </c>
      <c r="H8" s="97" t="n">
        <v>98</v>
      </c>
      <c r="I8" s="32" t="s">
        <v>30</v>
      </c>
      <c r="J8" s="31" t="s">
        <v>25</v>
      </c>
      <c r="K8" s="32" t="n">
        <v>0.12</v>
      </c>
      <c r="L8" s="33" t="n">
        <v>20</v>
      </c>
      <c r="M8" s="30" t="s">
        <v>26</v>
      </c>
      <c r="N8" s="32" t="n">
        <v>7</v>
      </c>
      <c r="O8" s="98" t="n">
        <v>43752</v>
      </c>
      <c r="P8" s="32" t="s">
        <v>47</v>
      </c>
      <c r="Q8" s="35" t="n">
        <v>43221</v>
      </c>
      <c r="R8" s="36" t="n">
        <v>799</v>
      </c>
      <c r="S8" s="36" t="n">
        <v>450</v>
      </c>
      <c r="T8" s="37" t="str">
        <f aca="false">HYPERLINK("https://amzn.to/2SX2HUi","link*")</f>
        <v>link*</v>
      </c>
      <c r="U8" s="37" t="str">
        <f aca="false">HYPERLINK("https://www.bhphotovideo.com/c/product/1352863-REG/samyang_syio14af_e_14mm_f_2_8_f_f_wide.html/BI/19619/KBID/12129/DFF/d10-v21-t1-x837928/SID/EZ","link*")</f>
        <v>link*</v>
      </c>
      <c r="V8" s="37" t="str">
        <f aca="false">HYPERLINK("https://amzn.to/31hwSIL","link*")</f>
        <v>link*</v>
      </c>
      <c r="W8" s="37" t="str">
        <f aca="false">HYPERLINK("http://rover.ebay.com/rover/1/711-53200-19255-0/1?icep_ff3=9&amp;pub=5575076376&amp;toolid=10001&amp;campid=5338573609&amp;customid=&amp;icep_uq=samyang+af+14+2.8+sony&amp;icep_sellerId=&amp;icep_ex_kw=&amp;icep_sortBy=12&amp;icep_catId=3323&amp;icep_minPrice=&amp;icep_maxPrice=&amp;ipn=psmain&amp;icep_vec"&amp;"torid=229466&amp;kwid=902099&amp;mtid=824&amp;kw=lg","link*")</f>
        <v>link*</v>
      </c>
      <c r="X8" s="38"/>
    </row>
    <row r="9" customFormat="false" ht="15.75" hidden="false" customHeight="false" outlineLevel="0" collapsed="false">
      <c r="A9" s="454" t="b">
        <f aca="false">FALSE()</f>
        <v>0</v>
      </c>
      <c r="B9" s="455" t="b">
        <f aca="false">FALSE()</f>
        <v>0</v>
      </c>
      <c r="C9" s="99" t="str">
        <f aca="false">HYPERLINK("https://phillipreeve.net/blog/review-voigtlander-15mm-4-5-e-super-wide-heliar/","Voigtlander 15mm F4.5 Super Wide Heliar")</f>
        <v>Voigtlander 15mm F4.5 Super Wide Heliar</v>
      </c>
      <c r="D9" s="100" t="n">
        <v>298</v>
      </c>
      <c r="E9" s="101" t="n">
        <v>15</v>
      </c>
      <c r="F9" s="102" t="n">
        <v>4.5</v>
      </c>
      <c r="G9" s="103" t="n">
        <v>67</v>
      </c>
      <c r="H9" s="104" t="n">
        <v>62</v>
      </c>
      <c r="I9" s="105" t="s">
        <v>24</v>
      </c>
      <c r="J9" s="106" t="s">
        <v>48</v>
      </c>
      <c r="K9" s="107" t="n">
        <v>0.083</v>
      </c>
      <c r="L9" s="108" t="n">
        <v>30</v>
      </c>
      <c r="M9" s="105" t="s">
        <v>26</v>
      </c>
      <c r="N9" s="107" t="n">
        <v>10</v>
      </c>
      <c r="O9" s="109" t="s">
        <v>38</v>
      </c>
      <c r="P9" s="107" t="s">
        <v>28</v>
      </c>
      <c r="Q9" s="110" t="n">
        <v>42401</v>
      </c>
      <c r="R9" s="111" t="n">
        <v>799</v>
      </c>
      <c r="S9" s="111" t="s">
        <v>36</v>
      </c>
      <c r="T9" s="112" t="str">
        <f aca="false">HYPERLINK("https://amzn.to/2YwplrQ","link*")</f>
        <v>link*</v>
      </c>
      <c r="U9" s="112" t="str">
        <f aca="false">HYPERLINK("https://www.bhphotovideo.com/c/product/1219549-REG/voigtlander_ba329b_super_wide_heliar_15mm_f_4_5.html/BI/19619/KBID/12129/DFF/d10-v21-t1-x618202/SID/EZ","link*")</f>
        <v>link*</v>
      </c>
      <c r="V9" s="112" t="str">
        <f aca="false">HYPERLINK("https://amzn.to/2ZpTKt5","link*")</f>
        <v>link*</v>
      </c>
      <c r="W9" s="112" t="str">
        <f aca="false">HYPERLINK("http://rover.ebay.com/rover/1/711-53200-19255-0/1?icep_ff3=9&amp;pub=5575076376&amp;toolid=10001&amp;campid=5338573609&amp;customid=&amp;icep_uq=Voigtlander+Sony+15mm+4.5&amp;icep_sellerId=&amp;icep_ex_kw=&amp;icep_sortBy=12&amp;icep_catId=3323&amp;icep_minPrice=&amp;icep_maxPrice=&amp;ipn=psmain&amp;icep_"&amp;"vectorid=229466&amp;kwid=902099&amp;mtid=824&amp;kw=lg","link*")</f>
        <v>link*</v>
      </c>
      <c r="X9" s="38"/>
    </row>
    <row r="10" customFormat="false" ht="15.75" hidden="false" customHeight="false" outlineLevel="0" collapsed="false">
      <c r="A10" s="454" t="b">
        <f aca="false">FALSE()</f>
        <v>0</v>
      </c>
      <c r="B10" s="455" t="b">
        <f aca="false">FALSE()</f>
        <v>0</v>
      </c>
      <c r="C10" s="113" t="str">
        <f aca="false">HYPERLINK("https://phillipreeve.net/blog/sony-fe-16-35mm-f4-za-t-review/","Sony ZA 4/16-35 OSS ")</f>
        <v>Sony ZA 4/16-35 OSS </v>
      </c>
      <c r="D10" s="40" t="n">
        <v>523</v>
      </c>
      <c r="E10" s="41" t="n">
        <v>16</v>
      </c>
      <c r="F10" s="42" t="n">
        <v>4</v>
      </c>
      <c r="G10" s="43" t="n">
        <v>78</v>
      </c>
      <c r="H10" s="44" t="n">
        <v>98</v>
      </c>
      <c r="I10" s="45" t="s">
        <v>30</v>
      </c>
      <c r="J10" s="46" t="s">
        <v>49</v>
      </c>
      <c r="K10" s="47" t="n">
        <v>0.19</v>
      </c>
      <c r="L10" s="48" t="n">
        <v>28</v>
      </c>
      <c r="M10" s="114" t="s">
        <v>50</v>
      </c>
      <c r="N10" s="47" t="n">
        <v>7</v>
      </c>
      <c r="O10" s="49" t="s">
        <v>38</v>
      </c>
      <c r="P10" s="47" t="s">
        <v>32</v>
      </c>
      <c r="Q10" s="50" t="n">
        <v>41883</v>
      </c>
      <c r="R10" s="51" t="n">
        <v>1349</v>
      </c>
      <c r="S10" s="51" t="n">
        <v>800</v>
      </c>
      <c r="T10" s="52" t="str">
        <f aca="false">HYPERLINK("http://amzn.to/2v2sY7q","link*")</f>
        <v>link*</v>
      </c>
      <c r="U10" s="52" t="str">
        <f aca="false">HYPERLINK("https://www.bhphotovideo.com/c/product/1380866-REG/sony_16_35mm_f_4_vario_tsr.html/BI/19619/KBID/12129/kw/SO16354F/DFF/d10-v2-t1-xSO16354F","link*")</f>
        <v>link*</v>
      </c>
      <c r="V10" s="52" t="str">
        <f aca="false">HYPERLINK("http://amzn.to/2wyMLuP","link*")</f>
        <v>link*</v>
      </c>
      <c r="W10" s="52" t="str">
        <f aca="false">HYPERLINK("http://rover.ebay.com/rover/1/711-53200-19255-0/1?icep_ff3=10&amp;pub=5575076376&amp;toolid=10001&amp;campid=5338164340&amp;customid=&amp;icep_uq=sony+16-35+za+oss&amp;icep_sellerId=&amp;icep_ex_kw=&amp;icep_sortBy=12&amp;icep_catId=&amp;icep_minPrice=&amp;icep_maxPrice=&amp;ipn=psmain&amp;icep_vectorid=22"&amp;"9466&amp;kwid=902099&amp;mtid=824&amp;kw=lg","link*")</f>
        <v>link*</v>
      </c>
    </row>
    <row r="11" customFormat="false" ht="15.75" hidden="false" customHeight="false" outlineLevel="0" collapsed="false">
      <c r="A11" s="454" t="b">
        <f aca="false">FALSE()</f>
        <v>0</v>
      </c>
      <c r="B11" s="455" t="b">
        <f aca="false">FALSE()</f>
        <v>0</v>
      </c>
      <c r="C11" s="95" t="s">
        <v>51</v>
      </c>
      <c r="D11" s="25" t="n">
        <v>680</v>
      </c>
      <c r="E11" s="26" t="n">
        <v>16</v>
      </c>
      <c r="F11" s="27" t="n">
        <v>2.8</v>
      </c>
      <c r="G11" s="96" t="n">
        <v>89</v>
      </c>
      <c r="H11" s="97" t="n">
        <v>122</v>
      </c>
      <c r="I11" s="30" t="s">
        <v>30</v>
      </c>
      <c r="J11" s="31" t="s">
        <v>52</v>
      </c>
      <c r="K11" s="32" t="n">
        <v>0.19</v>
      </c>
      <c r="L11" s="33" t="n">
        <v>28</v>
      </c>
      <c r="M11" s="30" t="s">
        <v>26</v>
      </c>
      <c r="N11" s="32" t="n">
        <v>11</v>
      </c>
      <c r="O11" s="34" t="s">
        <v>53</v>
      </c>
      <c r="P11" s="32" t="s">
        <v>32</v>
      </c>
      <c r="Q11" s="35" t="n">
        <v>42856</v>
      </c>
      <c r="R11" s="36" t="n">
        <v>2199</v>
      </c>
      <c r="S11" s="36" t="n">
        <v>1800</v>
      </c>
      <c r="T11" s="37" t="str">
        <f aca="false">HYPERLINK("https://amzn.to/2SR0IRl","link*")</f>
        <v>link*</v>
      </c>
      <c r="U11" s="37" t="str">
        <f aca="false">HYPERLINK("https://www.bhphotovideo.com/c/product/1338516-REG/sony_sel1635gm_fe_16_35mm_f_2_8_gm.html/BI/19619/KBID/12129/DFF/d10-v21-t1-x822837/SID/EZ","link*")</f>
        <v>link*</v>
      </c>
      <c r="V11" s="37" t="str">
        <f aca="false">HYPERLINK("https://amzn.to/2T1ZxOU","link*")</f>
        <v>link*</v>
      </c>
      <c r="W11" s="37" t="str">
        <f aca="false">HYPERLINK("http://rover.ebay.com/rover/1/711-53200-19255-0/1?icep_ff3=9&amp;pub=5575076376&amp;toolid=10001&amp;campid=5338573609&amp;customid=&amp;icep_uq=sony+gm+16-35&amp;icep_sellerId=&amp;icep_ex_kw=&amp;icep_sortBy=12&amp;icep_catId=3323&amp;icep_minPrice=&amp;icep_maxPrice=&amp;ipn=psmain&amp;icep_vectorid=229"&amp;"466&amp;kwid=902099&amp;mtid=824&amp;kw=lg","link*")</f>
        <v>link*</v>
      </c>
      <c r="X11" s="38"/>
    </row>
    <row r="12" customFormat="false" ht="15.75" hidden="false" customHeight="false" outlineLevel="0" collapsed="false">
      <c r="A12" s="454" t="b">
        <f aca="false">FALSE()</f>
        <v>0</v>
      </c>
      <c r="B12" s="455" t="b">
        <f aca="false">FALSE()</f>
        <v>0</v>
      </c>
      <c r="C12" s="99" t="str">
        <f aca="false">HYPERLINK("https://phillipreeve.net/blog/review-tamron-17-28mm-f-2-8-di-iii-rxd/","Tamron 17-28mm f/2.8 Di III RXD")</f>
        <v>Tamron 17-28mm f/2.8 Di III RXD</v>
      </c>
      <c r="D12" s="100" t="n">
        <v>420</v>
      </c>
      <c r="E12" s="101" t="n">
        <v>17</v>
      </c>
      <c r="F12" s="102" t="n">
        <v>2.8</v>
      </c>
      <c r="G12" s="115" t="n">
        <v>73</v>
      </c>
      <c r="H12" s="116" t="n">
        <v>99</v>
      </c>
      <c r="I12" s="105" t="s">
        <v>30</v>
      </c>
      <c r="J12" s="106" t="s">
        <v>54</v>
      </c>
      <c r="K12" s="107" t="n">
        <v>0.19</v>
      </c>
      <c r="L12" s="108" t="n">
        <v>19</v>
      </c>
      <c r="M12" s="105" t="s">
        <v>26</v>
      </c>
      <c r="N12" s="107" t="n">
        <v>9</v>
      </c>
      <c r="O12" s="109" t="s">
        <v>55</v>
      </c>
      <c r="P12" s="107" t="s">
        <v>56</v>
      </c>
      <c r="Q12" s="110" t="n">
        <v>43647</v>
      </c>
      <c r="R12" s="117" t="n">
        <v>899</v>
      </c>
      <c r="S12" s="111" t="s">
        <v>36</v>
      </c>
      <c r="T12" s="112" t="str">
        <f aca="false">HYPERLINK("https://amzn.to/2Hv3AyB","link*")</f>
        <v>link*</v>
      </c>
      <c r="U12" s="112" t="str">
        <f aca="false">HYPERLINK("https://www.bhphotovideo.com/c/product/1461529-REG/tamron_a046_17_28mm_f_2_8_di_iii.html/BI/19619/KBID/12129/DFF/d10-v21-t1-x946694/SID/EZ","link*")</f>
        <v>link*</v>
      </c>
      <c r="V12" s="112" t="str">
        <f aca="false">HYPERLINK("https://amzn.to/2YkrkQB","link*")</f>
        <v>link*</v>
      </c>
      <c r="W12" s="112" t="str">
        <f aca="false">HYPERLINK("http://rover.ebay.com/rover/1/711-53200-19255-0/1?icep_ff3=9&amp;pub=5575076376&amp;toolid=10001&amp;campid=5338573609&amp;customid=&amp;icep_uq=tamron+17-28+sony&amp;icep_sellerId=&amp;icep_ex_kw=&amp;icep_sortBy=12&amp;icep_catId=3323&amp;icep_minPrice=&amp;icep_maxPrice=&amp;ipn=psmain&amp;icep_vectorid"&amp;"=229466&amp;kwid=902099&amp;mtid=824&amp;kw=lg","link*")</f>
        <v>link*</v>
      </c>
      <c r="X12" s="38"/>
      <c r="Y12" s="69"/>
    </row>
    <row r="13" customFormat="false" ht="15.75" hidden="false" customHeight="false" outlineLevel="0" collapsed="false">
      <c r="A13" s="454" t="b">
        <f aca="false">FALSE()</f>
        <v>0</v>
      </c>
      <c r="B13" s="455" t="b">
        <f aca="false">FALSE()</f>
        <v>0</v>
      </c>
      <c r="C13" s="113" t="str">
        <f aca="false">HYPERLINK("https://phillipreeve.net/blog/review-zeiss-batis-18mm-2-8/","Zeiss Batis 2.8/18")</f>
        <v>Zeiss Batis 2.8/18</v>
      </c>
      <c r="D13" s="40" t="n">
        <v>330</v>
      </c>
      <c r="E13" s="41" t="n">
        <v>18</v>
      </c>
      <c r="F13" s="42" t="n">
        <v>2.8</v>
      </c>
      <c r="G13" s="43" t="n">
        <v>100</v>
      </c>
      <c r="H13" s="44" t="n">
        <v>80</v>
      </c>
      <c r="I13" s="45" t="s">
        <v>30</v>
      </c>
      <c r="J13" s="46" t="s">
        <v>57</v>
      </c>
      <c r="K13" s="47" t="n">
        <v>0.1</v>
      </c>
      <c r="L13" s="48" t="n">
        <v>25</v>
      </c>
      <c r="M13" s="45" t="s">
        <v>26</v>
      </c>
      <c r="N13" s="47" t="n">
        <v>9</v>
      </c>
      <c r="O13" s="49" t="s">
        <v>58</v>
      </c>
      <c r="P13" s="47" t="s">
        <v>59</v>
      </c>
      <c r="Q13" s="50" t="n">
        <v>42491</v>
      </c>
      <c r="R13" s="51" t="n">
        <v>1499</v>
      </c>
      <c r="S13" s="51" t="n">
        <v>1000</v>
      </c>
      <c r="T13" s="52" t="str">
        <f aca="false">HYPERLINK("https://amzn.to/2SRFBhL","link*")</f>
        <v>link*</v>
      </c>
      <c r="U13" s="52" t="str">
        <f aca="false">HYPERLINK("https://www.bhphotovideo.com/c/product/1243591-REG/zeiss_2136_691_batis_18mm_f_2_8_lens.html/BI/19619/KBID/12129/DFF/d10-v21-t1-x727488/SID/EZ","link*")</f>
        <v>link*</v>
      </c>
      <c r="V13" s="52" t="str">
        <f aca="false">HYPERLINK("https://amzn.to/334PqNT","link*")</f>
        <v>link*</v>
      </c>
      <c r="W13" s="52" t="str">
        <f aca="false">HYPERLINK("http://rover.ebay.com/rover/1/711-53200-19255-0/1?icep_ff3=9&amp;pub=5575076376&amp;toolid=10001&amp;campid=5338573609&amp;customid=&amp;icep_uq=batis+18+2.8&amp;icep_sellerId=&amp;icep_ex_kw=&amp;icep_sortBy=12&amp;icep_catId=3323&amp;icep_minPrice=&amp;icep_maxPrice=&amp;ipn=psmain&amp;icep_vectorid=2294"&amp;"66&amp;kwid=902099&amp;mtid=824&amp;kw=lg","link*")</f>
        <v>link*</v>
      </c>
    </row>
    <row r="14" customFormat="false" ht="15.75" hidden="false" customHeight="false" outlineLevel="0" collapsed="false">
      <c r="A14" s="454" t="b">
        <f aca="false">FALSE()</f>
        <v>0</v>
      </c>
      <c r="B14" s="455" t="b">
        <f aca="false">FALSE()</f>
        <v>0</v>
      </c>
      <c r="C14" s="95" t="s">
        <v>60</v>
      </c>
      <c r="D14" s="25" t="n">
        <v>145</v>
      </c>
      <c r="E14" s="26" t="n">
        <v>18</v>
      </c>
      <c r="F14" s="27" t="n">
        <v>2.8</v>
      </c>
      <c r="G14" s="96" t="n">
        <v>63.5</v>
      </c>
      <c r="H14" s="97" t="n">
        <v>60.5</v>
      </c>
      <c r="I14" s="30" t="s">
        <v>30</v>
      </c>
      <c r="J14" s="31" t="s">
        <v>48</v>
      </c>
      <c r="K14" s="32" t="n">
        <v>0.09</v>
      </c>
      <c r="L14" s="33" t="n">
        <v>25</v>
      </c>
      <c r="M14" s="30" t="s">
        <v>26</v>
      </c>
      <c r="N14" s="32" t="n">
        <v>7</v>
      </c>
      <c r="O14" s="34" t="s">
        <v>61</v>
      </c>
      <c r="P14" s="32" t="s">
        <v>47</v>
      </c>
      <c r="Q14" s="35" t="n">
        <v>43723</v>
      </c>
      <c r="R14" s="36" t="n">
        <v>399</v>
      </c>
      <c r="S14" s="36" t="s">
        <v>36</v>
      </c>
      <c r="T14" s="71"/>
      <c r="U14" s="37" t="str">
        <f aca="false">HYPERLINK("https://www.bhphotovideo.com/c/product/1503295-REG/samyang_syio18af_e_af_18mm_f_2_8_fe.html/BI/19619/KBID/12129/DFF/d10-v21-t1-x985623/SID/EZ","link*")</f>
        <v>link*</v>
      </c>
      <c r="V14" s="71"/>
      <c r="W14" s="71"/>
      <c r="X14" s="38"/>
    </row>
    <row r="15" customFormat="false" ht="15.75" hidden="false" customHeight="true" outlineLevel="0" collapsed="false">
      <c r="A15" s="454" t="b">
        <f aca="false">FALSE()</f>
        <v>0</v>
      </c>
      <c r="B15" s="455" t="b">
        <f aca="false">FALSE()</f>
        <v>0</v>
      </c>
      <c r="C15" s="39" t="s">
        <v>62</v>
      </c>
      <c r="D15" s="40" t="n">
        <v>1050</v>
      </c>
      <c r="E15" s="41" t="n">
        <v>20</v>
      </c>
      <c r="F15" s="119" t="n">
        <v>1.4</v>
      </c>
      <c r="G15" s="43" t="n">
        <v>91</v>
      </c>
      <c r="H15" s="44" t="n">
        <v>155.8</v>
      </c>
      <c r="I15" s="47" t="s">
        <v>30</v>
      </c>
      <c r="J15" s="46" t="s">
        <v>25</v>
      </c>
      <c r="K15" s="47" t="n">
        <v>0.14</v>
      </c>
      <c r="L15" s="48" t="n">
        <v>28</v>
      </c>
      <c r="M15" s="45" t="s">
        <v>26</v>
      </c>
      <c r="N15" s="47" t="n">
        <v>9</v>
      </c>
      <c r="O15" s="79" t="n">
        <v>43784</v>
      </c>
      <c r="P15" s="47" t="s">
        <v>43</v>
      </c>
      <c r="Q15" s="50" t="n">
        <v>43221</v>
      </c>
      <c r="R15" s="51" t="n">
        <v>899</v>
      </c>
      <c r="S15" s="51" t="n">
        <v>700</v>
      </c>
      <c r="T15" s="52" t="str">
        <f aca="false">HYPERLINK("https://amzn.to/2K4J7nh","link*")</f>
        <v>link*</v>
      </c>
      <c r="U15" s="52" t="str">
        <f aca="false">HYPERLINK("https://www.bhphotovideo.com/c/product/1393490-REG/sigma_20mm_f_1_4_dg_hsm.html/BI/19619/KBID/12129/DFF/d10-v21-t1-x881155/SID/EZ","link*")</f>
        <v>link*</v>
      </c>
      <c r="V15" s="52" t="str">
        <f aca="false">HYPERLINK("https://amzn.to/2Wy0d3F","link*")</f>
        <v>link*</v>
      </c>
      <c r="W15" s="52" t="str">
        <f aca="false">HYPERLINK("http://rover.ebay.com/rover/1/711-53200-19255-0/1?icep_ff3=9&amp;pub=5575076376&amp;toolid=10001&amp;campid=5338573609&amp;customid=&amp;icep_uq=sigma+art+20+1.4+sony&amp;icep_sellerId=&amp;icep_ex_kw=&amp;icep_sortBy=12&amp;icep_catId=3323&amp;icep_minPrice=&amp;icep_maxPrice=&amp;ipn=psmain&amp;icep_vect"&amp;"orid=229466&amp;kwid=902099&amp;mtid=824&amp;kw=lg","link*")</f>
        <v>link*</v>
      </c>
      <c r="X15" s="69" t="s">
        <v>260</v>
      </c>
    </row>
    <row r="16" customFormat="false" ht="15.75" hidden="false" customHeight="false" outlineLevel="0" collapsed="false">
      <c r="A16" s="454" t="b">
        <f aca="false">FALSE()</f>
        <v>0</v>
      </c>
      <c r="B16" s="455" t="b">
        <f aca="false">FALSE()</f>
        <v>0</v>
      </c>
      <c r="C16" s="80" t="s">
        <v>63</v>
      </c>
      <c r="D16" s="81" t="n">
        <v>775</v>
      </c>
      <c r="E16" s="82" t="n">
        <v>20</v>
      </c>
      <c r="F16" s="120" t="n">
        <v>1.8</v>
      </c>
      <c r="G16" s="84" t="n">
        <v>77</v>
      </c>
      <c r="H16" s="121" t="n">
        <v>102</v>
      </c>
      <c r="I16" s="86" t="s">
        <v>24</v>
      </c>
      <c r="J16" s="87" t="s">
        <v>52</v>
      </c>
      <c r="K16" s="86" t="n">
        <v>0.12</v>
      </c>
      <c r="L16" s="88" t="n">
        <v>25</v>
      </c>
      <c r="M16" s="89" t="s">
        <v>26</v>
      </c>
      <c r="N16" s="86" t="n">
        <v>14</v>
      </c>
      <c r="O16" s="122" t="n">
        <v>43720</v>
      </c>
      <c r="P16" s="86" t="s">
        <v>64</v>
      </c>
      <c r="Q16" s="91" t="n">
        <v>43586</v>
      </c>
      <c r="R16" s="92" t="n">
        <v>486</v>
      </c>
      <c r="S16" s="92" t="s">
        <v>36</v>
      </c>
      <c r="T16" s="93" t="str">
        <f aca="false">HYPERLINK("https://amzn.to/2LRRbJ5","link*")</f>
        <v>link*</v>
      </c>
      <c r="U16" s="93" t="str">
        <f aca="false">HYPERLINK("https://www.bhphotovideo.com/c/product/1469187-REG/viltrox_pfu_rbmh_20mm_f1_8_asph_e_mount_20mm_f_1_8_for_sony.html/BI/19619/KBID/12129/DFF/d10-v21-t1-x954299/SID/EZ","link*")</f>
        <v>link*</v>
      </c>
      <c r="V16" s="93" t="str">
        <f aca="false">HYPERLINK("https://amzn.to/2GL8iYV","link*")</f>
        <v>link*</v>
      </c>
      <c r="W16" s="93" t="str">
        <f aca="false">HYPERLINK("http://rover.ebay.com/rover/1/711-53200-19255-0/1?icep_ff3=9&amp;pub=5575076376&amp;toolid=10001&amp;campid=5338573609&amp;customid=&amp;icep_uq=viltrox+20+1.8+sony&amp;icep_sellerId=&amp;icep_ex_kw=&amp;icep_sortBy=12&amp;icep_catId=3323&amp;icep_minPrice=&amp;icep_maxPrice=&amp;ipn=psmain&amp;icep_vector"&amp;"id=229466&amp;kwid=902099&amp;mtid=824&amp;kw=lg","link*")</f>
        <v>link*</v>
      </c>
    </row>
    <row r="17" customFormat="false" ht="15.75" hidden="false" customHeight="true" outlineLevel="0" collapsed="false">
      <c r="A17" s="454" t="b">
        <f aca="false">FALSE()</f>
        <v>0</v>
      </c>
      <c r="B17" s="455" t="b">
        <f aca="false">FALSE()</f>
        <v>0</v>
      </c>
      <c r="C17" s="128" t="str">
        <f aca="false">HYPERLINK("https://phillipreeve.net/blog/tokina-firin-20mm-f2-fe-review-a-good-deal/","Tokina Firin 2/20")</f>
        <v>Tokina Firin 2/20</v>
      </c>
      <c r="D17" s="81" t="n">
        <v>492</v>
      </c>
      <c r="E17" s="82" t="n">
        <v>20</v>
      </c>
      <c r="F17" s="123" t="n">
        <v>2</v>
      </c>
      <c r="G17" s="124" t="n">
        <v>69</v>
      </c>
      <c r="H17" s="125" t="n">
        <v>82</v>
      </c>
      <c r="I17" s="89" t="s">
        <v>24</v>
      </c>
      <c r="J17" s="87" t="s">
        <v>67</v>
      </c>
      <c r="K17" s="86" t="n">
        <v>0.1</v>
      </c>
      <c r="L17" s="88" t="n">
        <v>30</v>
      </c>
      <c r="M17" s="89" t="s">
        <v>26</v>
      </c>
      <c r="N17" s="86" t="n">
        <v>9</v>
      </c>
      <c r="O17" s="126" t="s">
        <v>55</v>
      </c>
      <c r="P17" s="86" t="s">
        <v>68</v>
      </c>
      <c r="Q17" s="91" t="n">
        <v>42856</v>
      </c>
      <c r="R17" s="127" t="n">
        <v>799</v>
      </c>
      <c r="S17" s="127" t="n">
        <v>400</v>
      </c>
      <c r="T17" s="93" t="str">
        <f aca="false">HYPERLINK("http://amzn.to/2vlG2Yq","link*")</f>
        <v>link*</v>
      </c>
      <c r="U17" s="93" t="str">
        <f aca="false">HYPERLINK("https://www.bhphotovideo.com/c/product/1281299-REG/tokina_firin_20mm_f_2_fe.html/BI/19619/KBID/12129/kw/TO202E/DFF/d10-v2-t1-xTO202E","link*")</f>
        <v>link*</v>
      </c>
      <c r="V17" s="93" t="str">
        <f aca="false">HYPERLINK("http://amzn.to/2vvtDkM","link*")</f>
        <v>link*</v>
      </c>
      <c r="W17" s="93" t="str">
        <f aca="false">HYPERLINK("http://rover.ebay.com/rover/1/711-53200-19255-0/1?icep_ff3=10&amp;pub=5575076376&amp;toolid=10001&amp;campid=5338164340&amp;customid=&amp;icep_uq=tokina+firin+20&amp;icep_sellerId=&amp;icep_ex_kw=&amp;icep_sortBy=12&amp;icep_catId=&amp;icep_minPrice=&amp;icep_maxPrice=&amp;ipn=psmain&amp;icep_vectorid=2294"&amp;"66&amp;kwid=902099&amp;mtid=824&amp;kw=lg","link*")</f>
        <v>link*</v>
      </c>
    </row>
    <row r="18" customFormat="false" ht="15.75" hidden="false" customHeight="false" outlineLevel="0" collapsed="false">
      <c r="A18" s="454" t="b">
        <f aca="false">FALSE()</f>
        <v>0</v>
      </c>
      <c r="B18" s="455" t="b">
        <f aca="false">FALSE()</f>
        <v>0</v>
      </c>
      <c r="C18" s="95" t="s">
        <v>69</v>
      </c>
      <c r="D18" s="25" t="n">
        <v>464</v>
      </c>
      <c r="E18" s="26" t="n">
        <v>20</v>
      </c>
      <c r="F18" s="129" t="n">
        <v>2</v>
      </c>
      <c r="G18" s="130" t="n">
        <v>73</v>
      </c>
      <c r="H18" s="131" t="n">
        <v>82</v>
      </c>
      <c r="I18" s="30" t="s">
        <v>30</v>
      </c>
      <c r="J18" s="31" t="s">
        <v>67</v>
      </c>
      <c r="K18" s="32" t="n">
        <v>0.1</v>
      </c>
      <c r="L18" s="33" t="n">
        <v>30</v>
      </c>
      <c r="M18" s="30" t="s">
        <v>26</v>
      </c>
      <c r="N18" s="32" t="n">
        <v>9</v>
      </c>
      <c r="O18" s="34" t="s">
        <v>55</v>
      </c>
      <c r="P18" s="32" t="s">
        <v>68</v>
      </c>
      <c r="Q18" s="35" t="n">
        <v>43221</v>
      </c>
      <c r="R18" s="36" t="n">
        <v>949</v>
      </c>
      <c r="S18" s="36" t="n">
        <v>600</v>
      </c>
      <c r="T18" s="37" t="str">
        <f aca="false">HYPERLINK("https://amzn.to/2GDurZb","link*")</f>
        <v>link*</v>
      </c>
      <c r="U18" s="37" t="str">
        <f aca="false">HYPERLINK("https://www.bhphotovideo.com/c/product/1393327-REG/tokina_firin_20mm_f_2_fe.html/BI/19619/KBID/12129/DFF/d10-v21-t1-x880327/SID/EZ","link*")</f>
        <v>link*</v>
      </c>
      <c r="V18" s="37" t="str">
        <f aca="false">HYPERLINK("https://amzn.to/2GJYCxw","link*")</f>
        <v>link*</v>
      </c>
      <c r="W18" s="37" t="str">
        <f aca="false">HYPERLINK("http://rover.ebay.com/rover/1/711-53200-19255-0/1?icep_ff3=9&amp;pub=5575076376&amp;toolid=10001&amp;campid=5338573609&amp;customid=&amp;icep_uq=tokina+firin+20mm+af&amp;icep_sellerId=&amp;icep_ex_kw=&amp;icep_sortBy=12&amp;icep_catId=3323&amp;icep_minPrice=&amp;icep_maxPrice=&amp;ipn=psmain&amp;icep_vecto"&amp;"rid=229466&amp;kwid=902099&amp;mtid=824&amp;kw=lg","link*")</f>
        <v>link*</v>
      </c>
      <c r="X18" s="38"/>
    </row>
    <row r="19" customFormat="false" ht="15.75" hidden="false" customHeight="false" outlineLevel="0" collapsed="false">
      <c r="A19" s="454" t="b">
        <f aca="false">FALSE()</f>
        <v>0</v>
      </c>
      <c r="B19" s="455" t="b">
        <f aca="false">FALSE()</f>
        <v>0</v>
      </c>
      <c r="C19" s="113" t="str">
        <f aca="false">HYPERLINK("https://phillipreeve.net/blog/review_voigtlander_21mm_f14_e/","Voigtlander 21mm F1.4 Nokton")</f>
        <v>Voigtlander 21mm F1.4 Nokton</v>
      </c>
      <c r="D19" s="40" t="n">
        <v>540</v>
      </c>
      <c r="E19" s="41" t="n">
        <v>21</v>
      </c>
      <c r="F19" s="138" t="n">
        <v>1.4</v>
      </c>
      <c r="G19" s="133" t="n">
        <v>70</v>
      </c>
      <c r="H19" s="139" t="n">
        <v>80</v>
      </c>
      <c r="I19" s="45" t="s">
        <v>24</v>
      </c>
      <c r="J19" s="46" t="s">
        <v>67</v>
      </c>
      <c r="K19" s="47"/>
      <c r="L19" s="48" t="n">
        <v>25</v>
      </c>
      <c r="M19" s="45" t="s">
        <v>26</v>
      </c>
      <c r="N19" s="47" t="n">
        <v>12</v>
      </c>
      <c r="O19" s="49" t="s">
        <v>55</v>
      </c>
      <c r="P19" s="47" t="s">
        <v>28</v>
      </c>
      <c r="Q19" s="50" t="n">
        <v>43617</v>
      </c>
      <c r="R19" s="51" t="n">
        <v>1199</v>
      </c>
      <c r="S19" s="51" t="s">
        <v>36</v>
      </c>
      <c r="T19" s="52" t="str">
        <f aca="false">HYPERLINK("https://amzn.to/2K7gHrC","link*")</f>
        <v>link*</v>
      </c>
      <c r="U19" s="52" t="str">
        <f aca="false">HYPERLINK("https://www.bhphotovideo.com/c/product/1480269-REG/voigtlander_ba352a_nokton_21mm_f_1_4_aspherical.html/BI/19619/KBID/12129/DFF/d10-v21-t1-x963269/SID/EZ","link*")</f>
        <v>link*</v>
      </c>
      <c r="V19" s="140"/>
      <c r="W19" s="52" t="str">
        <f aca="false">HYPERLINK("http://rover.ebay.com/rover/1/711-53200-19255-0/1?icep_ff3=9&amp;pub=5575076376&amp;toolid=10001&amp;campid=5338573609&amp;customid=&amp;icep_uq=Voigtlander+Sony+21mm+1.4&amp;icep_sellerId=&amp;icep_ex_kw=&amp;icep_sortBy=12&amp;icep_catId=3323&amp;icep_minPrice=&amp;icep_maxPrice=&amp;ipn=psmain&amp;icep_"&amp;"vectorid=229466&amp;kwid=902099&amp;mtid=824&amp;kw=lg","link*")</f>
        <v>link*</v>
      </c>
    </row>
    <row r="20" customFormat="false" ht="15.75" hidden="false" customHeight="false" outlineLevel="0" collapsed="false">
      <c r="A20" s="454" t="b">
        <f aca="false">FALSE()</f>
        <v>0</v>
      </c>
      <c r="B20" s="455" t="b">
        <f aca="false">FALSE()</f>
        <v>0</v>
      </c>
      <c r="C20" s="128" t="str">
        <f aca="false">HYPERLINK("https://phillipreeve.net/blog/rolling-review-zeiss-loxia-distagon-2-821mm-t/https://phillipreeve.net/blog/rolling-review-zeiss-loxia-distagon-2-821mm-t/","Zeiss Loxia 2.8/21 Distagon T*")</f>
        <v>Zeiss Loxia 2.8/21 Distagon T*</v>
      </c>
      <c r="D20" s="81" t="n">
        <v>394</v>
      </c>
      <c r="E20" s="82" t="n">
        <v>21</v>
      </c>
      <c r="F20" s="83" t="n">
        <v>2.8</v>
      </c>
      <c r="G20" s="133" t="n">
        <v>62</v>
      </c>
      <c r="H20" s="139" t="n">
        <v>72</v>
      </c>
      <c r="I20" s="89" t="s">
        <v>24</v>
      </c>
      <c r="J20" s="87" t="s">
        <v>73</v>
      </c>
      <c r="K20" s="86" t="n">
        <v>0.13</v>
      </c>
      <c r="L20" s="88" t="n">
        <v>25</v>
      </c>
      <c r="M20" s="89" t="s">
        <v>26</v>
      </c>
      <c r="N20" s="86" t="n">
        <v>10</v>
      </c>
      <c r="O20" s="126" t="s">
        <v>74</v>
      </c>
      <c r="P20" s="86" t="s">
        <v>59</v>
      </c>
      <c r="Q20" s="91" t="n">
        <v>42339</v>
      </c>
      <c r="R20" s="92" t="n">
        <v>1499</v>
      </c>
      <c r="S20" s="92" t="n">
        <v>830</v>
      </c>
      <c r="T20" s="93" t="str">
        <f aca="false">HYPERLINK("https://amzn.to/2yspzBm","link*")</f>
        <v>link*</v>
      </c>
      <c r="U20" s="93" t="str">
        <f aca="false">HYPERLINK("https://www.bhphotovideo.com/c/product/1189220-REG/zeiss_2131_999_loxia_21mm_f_2_8_lens.html/BI/19619/KBID/12129/DFF/d10-v21-t1-x677077/SID/EZ","link*")</f>
        <v>link*</v>
      </c>
      <c r="V20" s="93" t="str">
        <f aca="false">HYPERLINK("https://amzn.to/2GHSOoA","link*")</f>
        <v>link*</v>
      </c>
      <c r="W20" s="93" t="str">
        <f aca="false">HYPERLINK("http://rover.ebay.com/rover/1/711-53200-19255-0/1?icep_ff3=9&amp;pub=5575076376&amp;toolid=10001&amp;campid=5338573609&amp;customid=&amp;icep_uq=Loxia+21mm&amp;icep_sellerId=&amp;icep_ex_kw=&amp;icep_sortBy=12&amp;icep_catId=3323&amp;icep_minPrice=&amp;icep_maxPrice=&amp;ipn=psmain&amp;icep_vectorid=229466"&amp;"&amp;kwid=902099&amp;mtid=824&amp;kw=lg","link*")</f>
        <v>link*</v>
      </c>
    </row>
    <row r="21" customFormat="false" ht="15.75" hidden="false" customHeight="false" outlineLevel="0" collapsed="false">
      <c r="A21" s="454" t="b">
        <f aca="false">FALSE()</f>
        <v>0</v>
      </c>
      <c r="B21" s="455" t="b">
        <f aca="false">FALSE()</f>
        <v>0</v>
      </c>
      <c r="C21" s="24" t="str">
        <f aca="false">HYPERLINK("https://phillipreeve.net/blog/voigtlander-21mm-f35-review/","Voigtlander 21mm F3.5 Color-Skopar")</f>
        <v>Voigtlander 21mm F3.5 Color-Skopar</v>
      </c>
      <c r="D21" s="25" t="n">
        <v>230</v>
      </c>
      <c r="E21" s="26" t="n">
        <v>21</v>
      </c>
      <c r="F21" s="27" t="n">
        <v>3.5</v>
      </c>
      <c r="G21" s="130" t="n">
        <v>63</v>
      </c>
      <c r="H21" s="131" t="n">
        <v>40</v>
      </c>
      <c r="I21" s="30" t="s">
        <v>24</v>
      </c>
      <c r="J21" s="31" t="s">
        <v>73</v>
      </c>
      <c r="K21" s="32"/>
      <c r="L21" s="33" t="n">
        <v>20</v>
      </c>
      <c r="M21" s="30" t="s">
        <v>26</v>
      </c>
      <c r="N21" s="32" t="n">
        <v>10</v>
      </c>
      <c r="O21" s="34" t="s">
        <v>61</v>
      </c>
      <c r="P21" s="32" t="s">
        <v>28</v>
      </c>
      <c r="Q21" s="35" t="n">
        <v>43374</v>
      </c>
      <c r="R21" s="36" t="n">
        <v>699</v>
      </c>
      <c r="S21" s="36" t="n">
        <v>525</v>
      </c>
      <c r="T21" s="37" t="str">
        <f aca="false">HYPERLINK("https://amzn.to/2JCie75","link*")</f>
        <v>link*</v>
      </c>
      <c r="U21" s="37" t="str">
        <f aca="false">HYPERLINK("https://www.bhphotovideo.com/c/product/1437613-REG/voigtlander_color_skopar_21mm_f_3_5_aspherical.html/BI/19619/KBID/12129/kw/VO2135E/DFF/d10-v2-t1-xVO2135E","link*")</f>
        <v>link*</v>
      </c>
      <c r="V21" s="37" t="str">
        <f aca="false">HYPERLINK("https://amzn.to/2ZoERan","link*")</f>
        <v>link*</v>
      </c>
      <c r="W21" s="37" t="str">
        <f aca="false">HYPERLINK("http://rover.ebay.com/rover/1/707-53477-19255-0/1?icep_ff3=9&amp;pub=5575076376&amp;toolid=10001&amp;campid=5338423810&amp;customid=&amp;icep_uq=voigtlander+21mm+3.5&amp;icep_sellerId=&amp;icep_ex_kw=&amp;icep_sortBy=12&amp;icep_catId=3323&amp;icep_minPrice=&amp;icep_maxPrice=&amp;ipn=psmain&amp;icep_vecto"&amp;"rid=229487&amp;kwid=902099&amp;mtid=824&amp;kw=lg","link*")</f>
        <v>link*</v>
      </c>
      <c r="X21" s="38"/>
    </row>
    <row r="22" customFormat="false" ht="15.75" hidden="false" customHeight="false" outlineLevel="0" collapsed="false">
      <c r="A22" s="454" t="b">
        <f aca="false">FALSE()</f>
        <v>0</v>
      </c>
      <c r="B22" s="455" t="b">
        <f aca="false">FALSE()</f>
        <v>0</v>
      </c>
      <c r="C22" s="113" t="str">
        <f aca="false">HYPERLINK("https://phillipreeve.net/blog/review-sony-fe-24mm-1-4-gm/","Sony GM 1.4/24")</f>
        <v>Sony GM 1.4/24</v>
      </c>
      <c r="D22" s="40" t="n">
        <v>445</v>
      </c>
      <c r="E22" s="41" t="n">
        <v>24</v>
      </c>
      <c r="F22" s="138" t="n">
        <v>1.4</v>
      </c>
      <c r="G22" s="133" t="n">
        <v>75</v>
      </c>
      <c r="H22" s="139" t="n">
        <v>92</v>
      </c>
      <c r="I22" s="45" t="s">
        <v>30</v>
      </c>
      <c r="J22" s="46" t="s">
        <v>54</v>
      </c>
      <c r="K22" s="47" t="n">
        <v>0.17</v>
      </c>
      <c r="L22" s="48" t="n">
        <v>25</v>
      </c>
      <c r="M22" s="45" t="s">
        <v>26</v>
      </c>
      <c r="N22" s="47" t="n">
        <v>11</v>
      </c>
      <c r="O22" s="49" t="s">
        <v>27</v>
      </c>
      <c r="P22" s="47" t="s">
        <v>32</v>
      </c>
      <c r="Q22" s="50" t="n">
        <v>43374</v>
      </c>
      <c r="R22" s="51" t="n">
        <v>1399</v>
      </c>
      <c r="S22" s="51" t="n">
        <v>1500</v>
      </c>
      <c r="T22" s="52" t="str">
        <f aca="false">HYPERLINK("https://amzn.to/2ywcbw1","link*")</f>
        <v>link*</v>
      </c>
      <c r="U22" s="52" t="str">
        <f aca="false">HYPERLINK("https://www.bhphotovideo.com/c/product/1435887-REG/sony_fe_24mm_f_1_4_gm.html/BI/19619/KBID/12129/DFF/d10-v21-t1-x915647/SID/EZ","link*")</f>
        <v>link*</v>
      </c>
      <c r="V22" s="52" t="str">
        <f aca="false">HYPERLINK("https://amzn.to/2L2tV9y","link*")</f>
        <v>link*</v>
      </c>
      <c r="W22" s="52" t="str">
        <f aca="false">HYPERLINK("http://rover.ebay.com/rover/1/711-53200-19255-0/1?icep_ff3=9&amp;pub=5575076376&amp;toolid=10001&amp;campid=5338573609&amp;customid=&amp;icep_uq=sony+gm+24mm&amp;icep_sellerId=&amp;icep_ex_kw=&amp;icep_sortBy=12&amp;icep_catId=3323&amp;icep_minPrice=&amp;icep_maxPrice=&amp;ipn=psmain&amp;icep_vectorid=2294"&amp;"66&amp;kwid=902099&amp;mtid=824&amp;kw=lg","link*")</f>
        <v>link*</v>
      </c>
    </row>
    <row r="23" customFormat="false" ht="15.75" hidden="false" customHeight="false" outlineLevel="0" collapsed="false">
      <c r="A23" s="454" t="b">
        <f aca="false">FALSE()</f>
        <v>0</v>
      </c>
      <c r="B23" s="455" t="b">
        <f aca="false">FALSE()</f>
        <v>0</v>
      </c>
      <c r="C23" s="80" t="s">
        <v>75</v>
      </c>
      <c r="D23" s="81" t="n">
        <v>760</v>
      </c>
      <c r="E23" s="82" t="n">
        <v>24</v>
      </c>
      <c r="F23" s="142" t="n">
        <v>1.4</v>
      </c>
      <c r="G23" s="133" t="n">
        <v>85</v>
      </c>
      <c r="H23" s="139" t="n">
        <v>116</v>
      </c>
      <c r="I23" s="86" t="s">
        <v>30</v>
      </c>
      <c r="J23" s="87" t="s">
        <v>57</v>
      </c>
      <c r="K23" s="86" t="n">
        <v>0.19</v>
      </c>
      <c r="L23" s="88" t="n">
        <v>25</v>
      </c>
      <c r="M23" s="89" t="s">
        <v>26</v>
      </c>
      <c r="N23" s="86" t="n">
        <v>9</v>
      </c>
      <c r="O23" s="122" t="n">
        <v>43784</v>
      </c>
      <c r="P23" s="86" t="s">
        <v>43</v>
      </c>
      <c r="Q23" s="91" t="n">
        <v>43221</v>
      </c>
      <c r="R23" s="92" t="n">
        <v>849</v>
      </c>
      <c r="S23" s="92" t="n">
        <v>620</v>
      </c>
      <c r="T23" s="93" t="str">
        <f aca="false">HYPERLINK("https://amzn.to/2Isw2Rv","link*")</f>
        <v>link*</v>
      </c>
      <c r="U23" s="93" t="str">
        <f aca="false">HYPERLINK("https://www.bhphotovideo.com/c/product/1393491-REG/sigma_24mm_f_1_4_dg_hsm.html/BI/19619/KBID/12129/kw/SI2414SO/DFF/d10-v2-t1-xSI2414SO","link*")</f>
        <v>link*</v>
      </c>
      <c r="V23" s="93" t="str">
        <f aca="false">HYPERLINK("https://amzn.to/2K7sIP4","link*")</f>
        <v>link*</v>
      </c>
      <c r="W23" s="93" t="str">
        <f aca="false">HYPERLINK("http://rover.ebay.com/rover/1/711-53200-19255-0/1?icep_ff3=9&amp;pub=5575076376&amp;toolid=10001&amp;campid=5338573609&amp;customid=&amp;icep_uq=sigma+art+24mm+e-mount&amp;icep_sellerId=&amp;icep_ex_kw=&amp;icep_sortBy=12&amp;icep_catId=3323&amp;icep_minPrice=&amp;icep_maxPrice=&amp;ipn=psmain&amp;icep_vec"&amp;"torid=229466&amp;kwid=902099&amp;mtid=824&amp;kw=lg","link*")</f>
        <v>link*</v>
      </c>
      <c r="X23" s="69" t="s">
        <v>260</v>
      </c>
    </row>
    <row r="24" customFormat="false" ht="15.75" hidden="false" customHeight="false" outlineLevel="0" collapsed="false">
      <c r="A24" s="454" t="b">
        <f aca="false">FALSE()</f>
        <v>0</v>
      </c>
      <c r="B24" s="455" t="b">
        <f aca="false">FALSE()</f>
        <v>0</v>
      </c>
      <c r="C24" s="128" t="str">
        <f aca="false">HYPERLINK("https://phillipreeve.net/blog/review-samyang-af-2-4-28-fe-at-least-its-small/","Samyang AF 24mm F/2.8")</f>
        <v>Samyang AF 24mm F/2.8</v>
      </c>
      <c r="D24" s="81" t="n">
        <v>93</v>
      </c>
      <c r="E24" s="82" t="n">
        <v>24</v>
      </c>
      <c r="F24" s="83" t="n">
        <v>2.8</v>
      </c>
      <c r="G24" s="133" t="n">
        <v>61</v>
      </c>
      <c r="H24" s="134" t="n">
        <v>37</v>
      </c>
      <c r="I24" s="89" t="s">
        <v>30</v>
      </c>
      <c r="J24" s="87" t="s">
        <v>80</v>
      </c>
      <c r="K24" s="86" t="n">
        <v>0.15</v>
      </c>
      <c r="L24" s="88" t="n">
        <v>20</v>
      </c>
      <c r="M24" s="89" t="s">
        <v>26</v>
      </c>
      <c r="N24" s="86" t="n">
        <v>9</v>
      </c>
      <c r="O24" s="126" t="s">
        <v>81</v>
      </c>
      <c r="P24" s="86" t="s">
        <v>47</v>
      </c>
      <c r="Q24" s="91" t="n">
        <v>43282</v>
      </c>
      <c r="R24" s="127" t="n">
        <v>279</v>
      </c>
      <c r="S24" s="127" t="n">
        <v>210</v>
      </c>
      <c r="T24" s="93" t="str">
        <f aca="false">HYPERLINK("https://amzn.to/2NEHZ7c","link*")</f>
        <v>link*</v>
      </c>
      <c r="U24" s="93" t="str">
        <f aca="false">HYPERLINK("https://www.bhphotovideo.com/c/product/1413350-REG/samyang_syio24af_e_af_24mm_f_2_8_fe.html/BI/19619/KBID/12129/kw/SASYIO24AFE/DFF/d10-v2-t1-xSASYIO24AFE","link*")</f>
        <v>link*</v>
      </c>
      <c r="V24" s="93" t="str">
        <f aca="false">HYPERLINK("https://amzn.to/2Onv1QE","link*")</f>
        <v>link*</v>
      </c>
      <c r="W24" s="93" t="str">
        <f aca="false">HYPERLINK("http://rover.ebay.com/rover/1/711-53200-19255-0/1?icep_ff3=9&amp;pub=5575076376&amp;toolid=10001&amp;campid=5338573609&amp;customid=&amp;icep_uq=samyang+af+24mm+2.8+sony&amp;icep_sellerId=&amp;icep_ex_kw=&amp;icep_sortBy=12&amp;icep_catId=3323&amp;icep_minPrice=&amp;icep_maxPrice=&amp;ipn=psmain&amp;icep_v"&amp;"ectorid=229466&amp;kwid=902099&amp;mtid=824&amp;kw=lg","link*")</f>
        <v>link*</v>
      </c>
    </row>
    <row r="25" customFormat="false" ht="15.75" hidden="false" customHeight="false" outlineLevel="0" collapsed="false">
      <c r="A25" s="454" t="b">
        <f aca="false">FALSE()</f>
        <v>0</v>
      </c>
      <c r="B25" s="455" t="b">
        <f aca="false">FALSE()</f>
        <v>0</v>
      </c>
      <c r="C25" s="144" t="str">
        <f aca="false">HYPERLINK("https://phillipreeve.net/blog/review-sony-fe-2-824-70mm-gm/","Sony GM 2.8/24-70")</f>
        <v>Sony GM 2.8/24-70</v>
      </c>
      <c r="D25" s="81" t="n">
        <v>886</v>
      </c>
      <c r="E25" s="82" t="n">
        <v>24</v>
      </c>
      <c r="F25" s="83" t="n">
        <v>2.8</v>
      </c>
      <c r="G25" s="133" t="n">
        <v>88</v>
      </c>
      <c r="H25" s="134" t="n">
        <v>136</v>
      </c>
      <c r="I25" s="89" t="s">
        <v>30</v>
      </c>
      <c r="J25" s="87" t="s">
        <v>52</v>
      </c>
      <c r="K25" s="135" t="n">
        <v>0.25</v>
      </c>
      <c r="L25" s="88" t="n">
        <v>38</v>
      </c>
      <c r="M25" s="89" t="s">
        <v>26</v>
      </c>
      <c r="N25" s="86" t="n">
        <v>11</v>
      </c>
      <c r="O25" s="126" t="s">
        <v>45</v>
      </c>
      <c r="P25" s="86" t="s">
        <v>32</v>
      </c>
      <c r="Q25" s="91" t="n">
        <v>42401</v>
      </c>
      <c r="R25" s="92" t="n">
        <v>2199</v>
      </c>
      <c r="S25" s="92" t="n">
        <v>1500</v>
      </c>
      <c r="T25" s="93" t="str">
        <f aca="false">HYPERLINK("https://amzn.to/2STHavK","link*")</f>
        <v>link*</v>
      </c>
      <c r="U25" s="93" t="str">
        <f aca="false">HYPERLINK("https://www.bhphotovideo.com/c/search?Ntt=gm%2024-70&amp;N=0&amp;InitialSearch=yes&amp;sts=ma&amp;Top+Nav-Search=&amp;BI=19619&amp;KBID=12129&amp;KWID=EZ","link*")</f>
        <v>link*</v>
      </c>
      <c r="V25" s="93" t="str">
        <f aca="false">HYPERLINK("https://amzn.to/2ZwoyU7","link*")</f>
        <v>link*</v>
      </c>
      <c r="W25" s="93" t="str">
        <f aca="false">HYPERLINK("http://rover.ebay.com/rover/1/711-53200-19255-0/1?icep_ff3=9&amp;pub=5575076376&amp;toolid=10001&amp;campid=5338573609&amp;customid=&amp;icep_uq=sony+gm+24-70+2.8&amp;icep_sellerId=&amp;icep_ex_kw=&amp;icep_sortBy=12&amp;icep_catId=3323&amp;icep_minPrice=&amp;icep_maxPrice=&amp;ipn=psmain&amp;icep_vectorid"&amp;"=229466&amp;kwid=902099&amp;mtid=824&amp;kw=lg","link*")</f>
        <v>link*</v>
      </c>
    </row>
    <row r="26" customFormat="false" ht="15.75" hidden="false" customHeight="false" outlineLevel="0" collapsed="false">
      <c r="A26" s="454" t="b">
        <f aca="false">FALSE()</f>
        <v>0</v>
      </c>
      <c r="B26" s="455" t="b">
        <f aca="false">FALSE()</f>
        <v>0</v>
      </c>
      <c r="C26" s="80" t="s">
        <v>89</v>
      </c>
      <c r="D26" s="81" t="n">
        <v>780</v>
      </c>
      <c r="E26" s="82" t="n">
        <v>24</v>
      </c>
      <c r="F26" s="83" t="s">
        <v>90</v>
      </c>
      <c r="G26" s="133" t="n">
        <v>80</v>
      </c>
      <c r="H26" s="134" t="n">
        <v>119</v>
      </c>
      <c r="I26" s="89" t="s">
        <v>30</v>
      </c>
      <c r="J26" s="87" t="s">
        <v>49</v>
      </c>
      <c r="K26" s="135" t="n">
        <v>0.27</v>
      </c>
      <c r="L26" s="88" t="n">
        <v>50</v>
      </c>
      <c r="M26" s="174" t="s">
        <v>50</v>
      </c>
      <c r="N26" s="86" t="n">
        <v>7</v>
      </c>
      <c r="O26" s="126" t="s">
        <v>91</v>
      </c>
      <c r="P26" s="86" t="s">
        <v>32</v>
      </c>
      <c r="Q26" s="91" t="n">
        <v>42064</v>
      </c>
      <c r="R26" s="92" t="n">
        <v>998</v>
      </c>
      <c r="S26" s="92" t="n">
        <v>600</v>
      </c>
      <c r="T26" s="93" t="str">
        <f aca="false">HYPERLINK("http://amzn.to/2fbX5FU","link*")</f>
        <v>link*</v>
      </c>
      <c r="U26" s="93" t="str">
        <f aca="false">HYPERLINK("https://www.bhphotovideo.com/c/search?Ntt=sony%2024-240&amp;N=0&amp;InitialSearch=yes&amp;sts=ma&amp;Top+Nav-Search=&amp;BI=19619&amp;KBID=12129&amp;KWID=EZ","link*")</f>
        <v>link*</v>
      </c>
      <c r="V26" s="93" t="str">
        <f aca="false">HYPERLINK("http://amzn.to/2wyrL7A","link*")</f>
        <v>link*</v>
      </c>
      <c r="W26" s="93" t="str">
        <f aca="false">HYPERLINK("http://rover.ebay.com/rover/1/711-53200-19255-0/1?icep_ff3=10&amp;pub=5575076376&amp;toolid=10001&amp;campid=5338164340&amp;customid=&amp;icep_uq=sony+24-240&amp;icep_sellerId=&amp;icep_ex_kw=&amp;icep_sortBy=12&amp;icep_catId=&amp;icep_minPrice=&amp;icep_maxPrice=&amp;ipn=psmain&amp;icep_vectorid=229466&amp;k"&amp;"wid=902099&amp;mtid=824&amp;kw=lg","link*")</f>
        <v>link*</v>
      </c>
    </row>
    <row r="27" customFormat="false" ht="15.75" hidden="false" customHeight="false" outlineLevel="0" collapsed="false">
      <c r="A27" s="454" t="b">
        <f aca="false">FALSE()</f>
        <v>0</v>
      </c>
      <c r="B27" s="454" t="b">
        <f aca="false">FALSE()</f>
        <v>0</v>
      </c>
      <c r="C27" s="80" t="s">
        <v>92</v>
      </c>
      <c r="D27" s="81" t="n">
        <v>663</v>
      </c>
      <c r="E27" s="82" t="n">
        <v>24</v>
      </c>
      <c r="F27" s="83" t="n">
        <v>4</v>
      </c>
      <c r="G27" s="133" t="n">
        <v>83</v>
      </c>
      <c r="H27" s="139" t="n">
        <v>113</v>
      </c>
      <c r="I27" s="89" t="s">
        <v>30</v>
      </c>
      <c r="J27" s="87" t="s">
        <v>57</v>
      </c>
      <c r="K27" s="135" t="n">
        <v>0.31</v>
      </c>
      <c r="L27" s="88" t="n">
        <v>38</v>
      </c>
      <c r="M27" s="174" t="s">
        <v>50</v>
      </c>
      <c r="N27" s="86" t="n">
        <v>9</v>
      </c>
      <c r="O27" s="126" t="s">
        <v>35</v>
      </c>
      <c r="P27" s="86" t="s">
        <v>32</v>
      </c>
      <c r="Q27" s="91" t="n">
        <v>43009</v>
      </c>
      <c r="R27" s="92" t="n">
        <v>1398</v>
      </c>
      <c r="S27" s="69" t="n">
        <v>1050</v>
      </c>
      <c r="T27" s="93" t="str">
        <f aca="false">HYPERLINK("https://amzn.to/2K7LwMR","link*")</f>
        <v>link*</v>
      </c>
      <c r="U27" s="93" t="str">
        <f aca="false">HYPERLINK("https://www.bhphotovideo.com/c/search?Ntt=sony%2024-105&amp;N=0&amp;InitialSearch=yes&amp;sts=ma&amp;Top+Nav-Search=&amp;BI=19619&amp;KBID=12129&amp;KWID=EZ","link*")</f>
        <v>link*</v>
      </c>
      <c r="V27" s="93" t="str">
        <f aca="false">HYPERLINK("https://amzn.to/2Ld8hOS","link*")</f>
        <v>link*</v>
      </c>
      <c r="W27" s="93" t="str">
        <f aca="false">HYPERLINK("http://rover.ebay.com/rover/1/711-53200-19255-0/1?icep_ff3=9&amp;pub=5575076376&amp;toolid=10001&amp;campid=5338573609&amp;customid=&amp;icep_uq=sony+g+24-105&amp;icep_sellerId=&amp;icep_ex_kw=&amp;icep_sortBy=12&amp;icep_catId=3323&amp;icep_minPrice=&amp;icep_maxPrice=&amp;ipn=psmain&amp;icep_vectorid=229"&amp;"466&amp;kwid=902099&amp;mtid=824&amp;kw=lg","link*")</f>
        <v>link*</v>
      </c>
    </row>
    <row r="28" customFormat="false" ht="15.75" hidden="false" customHeight="false" outlineLevel="0" collapsed="false">
      <c r="A28" s="454" t="b">
        <f aca="false">FALSE()</f>
        <v>0</v>
      </c>
      <c r="B28" s="455" t="b">
        <f aca="false">FALSE()</f>
        <v>0</v>
      </c>
      <c r="C28" s="24" t="str">
        <f aca="false">HYPERLINK("https://phillipreeve.net/blog/rolling-review-carl-zeiss-vario-tessar-t-fe-424-70-za/","Sony ZA 4/24-70 OSS")</f>
        <v>Sony ZA 4/24-70 OSS</v>
      </c>
      <c r="D28" s="25" t="n">
        <v>426</v>
      </c>
      <c r="E28" s="26" t="n">
        <v>24</v>
      </c>
      <c r="F28" s="27" t="n">
        <v>4</v>
      </c>
      <c r="G28" s="130" t="n">
        <v>73</v>
      </c>
      <c r="H28" s="175" t="n">
        <v>95</v>
      </c>
      <c r="I28" s="30" t="s">
        <v>30</v>
      </c>
      <c r="J28" s="31" t="s">
        <v>54</v>
      </c>
      <c r="K28" s="32" t="n">
        <v>0.2</v>
      </c>
      <c r="L28" s="33" t="n">
        <v>40</v>
      </c>
      <c r="M28" s="176" t="s">
        <v>50</v>
      </c>
      <c r="N28" s="32" t="n">
        <v>7</v>
      </c>
      <c r="O28" s="34" t="s">
        <v>38</v>
      </c>
      <c r="P28" s="32" t="s">
        <v>32</v>
      </c>
      <c r="Q28" s="35" t="n">
        <v>41640</v>
      </c>
      <c r="R28" s="36" t="n">
        <v>898</v>
      </c>
      <c r="S28" s="36" t="n">
        <v>420</v>
      </c>
      <c r="T28" s="37" t="str">
        <f aca="false">HYPERLINK("http://amzn.to/2vlG2Yq","link*")</f>
        <v>link*</v>
      </c>
      <c r="U28" s="37" t="str">
        <f aca="false">HYPERLINK("https://www.bhphotovideo.com/c/product/1008126-REG/sony_sel2470z_vario_tessar_t_fe_24_70mm.html/BI/19619/KBID/12129/DFF/d10-v21-t1-x466842/SID/EZ","link*")</f>
        <v>link*</v>
      </c>
      <c r="V28" s="37" t="str">
        <f aca="false">HYPERLINK("http://amzn.to/2fl1XZk","link*")</f>
        <v>link*</v>
      </c>
      <c r="W28" s="37" t="str">
        <f aca="false">HYPERLINK("http://rover.ebay.com/rover/1/711-53200-19255-0/1?icep_ff3=10&amp;pub=5575076376&amp;toolid=10001&amp;campid=5338164340&amp;customid=&amp;icep_uq=sony+24-70+za&amp;icep_sellerId=&amp;icep_ex_kw=&amp;icep_sortBy=12&amp;icep_catId=&amp;icep_minPrice=&amp;icep_maxPrice=&amp;ipn=psmain&amp;icep_vectorid=229466"&amp;"&amp;kwid=902099&amp;mtid=824&amp;kw=lg","link*")</f>
        <v>link*</v>
      </c>
      <c r="X28" s="38"/>
    </row>
    <row r="29" customFormat="false" ht="15.75" hidden="false" customHeight="false" outlineLevel="0" collapsed="false">
      <c r="A29" s="454" t="b">
        <f aca="false">FALSE()</f>
        <v>0</v>
      </c>
      <c r="B29" s="455" t="b">
        <f aca="false">FALSE()</f>
        <v>0</v>
      </c>
      <c r="C29" s="113" t="str">
        <f aca="false">HYPERLINK("https://phillipreeve.net/blog/review-zeiss-batis-distagon-t-25mm-f2/","Zeiss Batis 2/25")</f>
        <v>Zeiss Batis 2/25</v>
      </c>
      <c r="D29" s="40" t="n">
        <v>335</v>
      </c>
      <c r="E29" s="41" t="n">
        <v>25</v>
      </c>
      <c r="F29" s="42" t="n">
        <v>2</v>
      </c>
      <c r="G29" s="133" t="n">
        <v>92</v>
      </c>
      <c r="H29" s="139" t="n">
        <v>78</v>
      </c>
      <c r="I29" s="45" t="s">
        <v>30</v>
      </c>
      <c r="J29" s="46" t="s">
        <v>54</v>
      </c>
      <c r="K29" s="47" t="n">
        <v>0.19</v>
      </c>
      <c r="L29" s="48" t="n">
        <v>20</v>
      </c>
      <c r="M29" s="45" t="s">
        <v>26</v>
      </c>
      <c r="N29" s="47" t="n">
        <v>9</v>
      </c>
      <c r="O29" s="49" t="s">
        <v>93</v>
      </c>
      <c r="P29" s="47" t="s">
        <v>59</v>
      </c>
      <c r="Q29" s="50" t="n">
        <v>42125</v>
      </c>
      <c r="R29" s="51" t="n">
        <v>1299</v>
      </c>
      <c r="S29" s="51" t="n">
        <v>675</v>
      </c>
      <c r="T29" s="52" t="str">
        <f aca="false">HYPERLINK("https://amzn.to/2ypHQiT","link*")</f>
        <v>link*</v>
      </c>
      <c r="U29" s="52" t="str">
        <f aca="false">HYPERLINK("https://www.bhphotovideo.com/c/product/1140832-REG/zeiss_2103_750_25mm_f_2_0_batis_wide.html/BI/19619/KBID/12129/DFF/d10-v21-t1-x627141/SID/EZ","link*")</f>
        <v>link*</v>
      </c>
      <c r="V29" s="52" t="str">
        <f aca="false">HYPERLINK("https://amzn.to/2L20DIj","link*")</f>
        <v>link*</v>
      </c>
      <c r="W29" s="52" t="str">
        <f aca="false">HYPERLINK("http://rover.ebay.com/rover/1/711-53200-19255-0/1?icep_ff3=9&amp;pub=5575076376&amp;toolid=10001&amp;campid=5338573609&amp;customid=&amp;icep_uq=Zeiss+batis+25mm&amp;icep_sellerId=&amp;icep_ex_kw=&amp;icep_sortBy=12&amp;icep_catId=3323&amp;icep_minPrice=&amp;icep_maxPrice=&amp;ipn=psmain&amp;icep_vectorid="&amp;"229466&amp;kwid=902099&amp;mtid=824&amp;kw=lg","link*")</f>
        <v>link*</v>
      </c>
    </row>
    <row r="30" customFormat="false" ht="15.75" hidden="false" customHeight="false" outlineLevel="0" collapsed="false">
      <c r="A30" s="454" t="b">
        <f aca="false">FALSE()</f>
        <v>0</v>
      </c>
      <c r="B30" s="455" t="b">
        <f aca="false">FALSE()</f>
        <v>0</v>
      </c>
      <c r="C30" s="24" t="str">
        <f aca="false">HYPERLINK("https://phillipreeve.net/blog/review-zeiss-loxia-2-4-25mm-distagon/","Zeiss Loxia 2.4/25")</f>
        <v>Zeiss Loxia 2.4/25</v>
      </c>
      <c r="D30" s="25" t="n">
        <v>393</v>
      </c>
      <c r="E30" s="26" t="n">
        <v>25</v>
      </c>
      <c r="F30" s="27" t="n">
        <v>2.4</v>
      </c>
      <c r="G30" s="130" t="n">
        <v>62</v>
      </c>
      <c r="H30" s="175" t="n">
        <v>75</v>
      </c>
      <c r="I30" s="30" t="s">
        <v>24</v>
      </c>
      <c r="J30" s="31" t="s">
        <v>73</v>
      </c>
      <c r="K30" s="32" t="n">
        <v>0.16</v>
      </c>
      <c r="L30" s="33" t="n">
        <v>25</v>
      </c>
      <c r="M30" s="30" t="s">
        <v>26</v>
      </c>
      <c r="N30" s="32" t="n">
        <v>10</v>
      </c>
      <c r="O30" s="34" t="s">
        <v>93</v>
      </c>
      <c r="P30" s="32" t="s">
        <v>59</v>
      </c>
      <c r="Q30" s="35" t="n">
        <v>43160</v>
      </c>
      <c r="R30" s="36" t="n">
        <v>1299</v>
      </c>
      <c r="S30" s="36" t="s">
        <v>36</v>
      </c>
      <c r="T30" s="37" t="str">
        <f aca="false">HYPERLINK("https://amzn.to/2OlyeAf","link*")</f>
        <v>link*</v>
      </c>
      <c r="U30" s="37" t="str">
        <f aca="false">HYPERLINK("https://www.bhphotovideo.com/c/product/1389169-REG/zeiss_000000_2218_783_loxia_25mm_f_2_4_lens.html/BI/19619/KBID/12129/kw/ZE2524L/DFF/d10-v2-t1-xZE2524L","link*")</f>
        <v>link*</v>
      </c>
      <c r="V30" s="37" t="str">
        <f aca="false">HYPERLINK("https://amzn.to/2OlyeAf","link*")</f>
        <v>link*</v>
      </c>
      <c r="W30" s="37" t="str">
        <f aca="false">HYPERLINK("http://rover.ebay.com/rover/1/711-53200-19255-0/1?icep_ff3=9&amp;pub=5575076376&amp;toolid=10001&amp;campid=5338573609&amp;customid=&amp;icep_uq=Zeiss+loxia+25mm&amp;icep_sellerId=&amp;icep_ex_kw=&amp;icep_sortBy=12&amp;icep_catId=3323&amp;icep_minPrice=&amp;icep_maxPrice=&amp;ipn=psmain&amp;icep_vectorid="&amp;"229466&amp;kwid=902099&amp;mtid=824&amp;kw=lg","link*")</f>
        <v>link*</v>
      </c>
      <c r="X30" s="38"/>
    </row>
    <row r="31" customFormat="false" ht="15.75" hidden="false" customHeight="false" outlineLevel="0" collapsed="false">
      <c r="A31" s="454" t="b">
        <f aca="false">FALSE()</f>
        <v>0</v>
      </c>
      <c r="B31" s="455" t="b">
        <f aca="false">FALSE()</f>
        <v>0</v>
      </c>
      <c r="C31" s="39" t="s">
        <v>94</v>
      </c>
      <c r="D31" s="40" t="n">
        <v>965</v>
      </c>
      <c r="E31" s="41" t="n">
        <v>28</v>
      </c>
      <c r="F31" s="42" t="n">
        <v>1.4</v>
      </c>
      <c r="G31" s="133" t="n">
        <v>83</v>
      </c>
      <c r="H31" s="139" t="n">
        <v>134</v>
      </c>
      <c r="I31" s="45" t="s">
        <v>30</v>
      </c>
      <c r="J31" s="46" t="s">
        <v>57</v>
      </c>
      <c r="K31" s="47" t="n">
        <v>0.19</v>
      </c>
      <c r="L31" s="48" t="n">
        <v>28</v>
      </c>
      <c r="M31" s="45" t="s">
        <v>26</v>
      </c>
      <c r="N31" s="47" t="n">
        <v>9</v>
      </c>
      <c r="O31" s="49" t="s">
        <v>91</v>
      </c>
      <c r="P31" s="47" t="s">
        <v>43</v>
      </c>
      <c r="Q31" s="50" t="n">
        <v>43435</v>
      </c>
      <c r="R31" s="51" t="n">
        <v>1399</v>
      </c>
      <c r="S31" s="51" t="s">
        <v>36</v>
      </c>
      <c r="T31" s="52" t="str">
        <f aca="false">HYPERLINK("https://amzn.to/2Wn0pxO","link*")</f>
        <v>link*</v>
      </c>
      <c r="U31" s="52" t="str">
        <f aca="false">HYPERLINK("https://www.bhphotovideo.com/c/product/1436285-REG/sigma_28mm_f_1_4_dg_hsm.html/BI/19619/KBID/12129/kw/SI2814DGSE/DFF/d10-v2-t1-xSI2814DGSE","link*")</f>
        <v>link*</v>
      </c>
      <c r="V31" s="52" t="str">
        <f aca="false">HYPERLINK("https://amzn.to/2WzVkHd","link*")</f>
        <v>link*</v>
      </c>
      <c r="W31" s="52" t="str">
        <f aca="false">HYPERLINK("http://rover.ebay.com/rover/1/711-53200-19255-0/1?icep_ff3=9&amp;pub=5575076376&amp;toolid=10001&amp;campid=5338573609&amp;customid=&amp;icep_uq=sigma+art+28mm+e-mount&amp;icep_sellerId=&amp;icep_ex_kw=&amp;icep_sortBy=12&amp;icep_catId=3323&amp;icep_minPrice=&amp;icep_maxPrice=&amp;ipn=psmain&amp;icep_vec"&amp;"torid=229466&amp;kwid=902099&amp;mtid=824&amp;kw=lg","link*")</f>
        <v>link*</v>
      </c>
    </row>
    <row r="32" customFormat="false" ht="15.75" hidden="false" customHeight="false" outlineLevel="0" collapsed="false">
      <c r="A32" s="454" t="b">
        <f aca="false">FALSE()</f>
        <v>0</v>
      </c>
      <c r="B32" s="455" t="b">
        <f aca="false">FALSE()</f>
        <v>0</v>
      </c>
      <c r="C32" s="128" t="str">
        <f aca="false">HYPERLINK("https://www.systemkamera-forum.de/blog/2015/05/sony-fe-28mm-f2-test-und-erfahrungsbericht/","Sony FE 2/28")</f>
        <v>Sony FE 2/28</v>
      </c>
      <c r="D32" s="81" t="n">
        <v>200</v>
      </c>
      <c r="E32" s="82" t="n">
        <v>28</v>
      </c>
      <c r="F32" s="83" t="n">
        <v>2</v>
      </c>
      <c r="G32" s="133" t="n">
        <v>60</v>
      </c>
      <c r="H32" s="139" t="n">
        <v>60</v>
      </c>
      <c r="I32" s="89" t="s">
        <v>30</v>
      </c>
      <c r="J32" s="87" t="s">
        <v>80</v>
      </c>
      <c r="K32" s="86" t="n">
        <v>0.13</v>
      </c>
      <c r="L32" s="88" t="n">
        <v>29</v>
      </c>
      <c r="M32" s="89" t="s">
        <v>26</v>
      </c>
      <c r="N32" s="86" t="n">
        <v>9</v>
      </c>
      <c r="O32" s="126" t="s">
        <v>61</v>
      </c>
      <c r="P32" s="86" t="s">
        <v>32</v>
      </c>
      <c r="Q32" s="91" t="n">
        <v>42064</v>
      </c>
      <c r="R32" s="145" t="n">
        <v>448</v>
      </c>
      <c r="S32" s="145" t="n">
        <v>280</v>
      </c>
      <c r="T32" s="93" t="str">
        <f aca="false">HYPERLINK("https://amzn.to/2GXJWdo","link*")</f>
        <v>link*</v>
      </c>
      <c r="U32" s="93" t="str">
        <f aca="false">HYPERLINK("https://www.bhphotovideo.com/c/product/1402637-REG/sony_fe_28mm_f_2_lens.html/BI/19619/KBID/12129/kw/SO2820F/DFF/d10-v2-t1-xSO2820F","link*")</f>
        <v>link*</v>
      </c>
      <c r="V32" s="93" t="str">
        <f aca="false">HYPERLINK("http://amzn.to/2wyLOCO","link*")</f>
        <v>link*</v>
      </c>
      <c r="W32" s="93" t="str">
        <f aca="false">HYPERLINK("http://rover.ebay.com/rover/1/711-53200-19255-0/1?icep_ff3=10&amp;pub=5575076376&amp;toolid=10001&amp;campid=5338164340&amp;customid=&amp;icep_uq=sony+28+f2&amp;icep_sellerId=&amp;icep_ex_kw=&amp;icep_sortBy=12&amp;icep_catId=&amp;icep_minPrice=&amp;icep_maxPrice=&amp;ipn=psmain&amp;icep_vectorid=229466&amp;kw"&amp;"id=902099&amp;mtid=824&amp;kw=lg","link*")</f>
        <v>link*</v>
      </c>
    </row>
    <row r="33" customFormat="false" ht="15.75" hidden="false" customHeight="false" outlineLevel="0" collapsed="false">
      <c r="A33" s="454" t="b">
        <f aca="false">FALSE()</f>
        <v>0</v>
      </c>
      <c r="B33" s="455" t="b">
        <f aca="false">FALSE()</f>
        <v>0</v>
      </c>
      <c r="C33" s="128" t="str">
        <f aca="false">HYPERLINK("https://phillipreeve.net/blog/review-tamron-28-75mm-f-2-8-di-iii-rxd-sony-e-mount/","Tamron 2.8/28-75")</f>
        <v>Tamron 2.8/28-75</v>
      </c>
      <c r="D33" s="81" t="n">
        <v>550</v>
      </c>
      <c r="E33" s="82" t="n">
        <v>28</v>
      </c>
      <c r="F33" s="83" t="n">
        <v>2.8</v>
      </c>
      <c r="G33" s="133" t="n">
        <v>73</v>
      </c>
      <c r="H33" s="139" t="n">
        <v>118</v>
      </c>
      <c r="I33" s="89" t="s">
        <v>30</v>
      </c>
      <c r="J33" s="87" t="s">
        <v>54</v>
      </c>
      <c r="K33" s="135" t="n">
        <v>0.34</v>
      </c>
      <c r="L33" s="88" t="n">
        <v>19</v>
      </c>
      <c r="M33" s="89" t="s">
        <v>26</v>
      </c>
      <c r="N33" s="86" t="n">
        <v>9</v>
      </c>
      <c r="O33" s="126" t="s">
        <v>95</v>
      </c>
      <c r="P33" s="86" t="s">
        <v>56</v>
      </c>
      <c r="Q33" s="91" t="n">
        <v>43252</v>
      </c>
      <c r="R33" s="145" t="n">
        <v>879</v>
      </c>
      <c r="S33" s="92" t="n">
        <v>790</v>
      </c>
      <c r="T33" s="93" t="str">
        <f aca="false">HYPERLINK("https://amzn.to/2ST5uxq","link*")</f>
        <v>link*</v>
      </c>
      <c r="U33" s="93" t="str">
        <f aca="false">HYPERLINK("https://www.bhphotovideo.com/c/product/1393332-REG/tamron_a036_28_75mm_f_2_8_di_iii.html/BI/19619/KBID/12129/DFF/d10-v21-t1-x892059/SID/EZ","link*")</f>
        <v>link*</v>
      </c>
      <c r="V33" s="93" t="str">
        <f aca="false">HYPERLINK("https://amzn.to/2ZmSzdU","link*")</f>
        <v>link*</v>
      </c>
      <c r="W33" s="93" t="str">
        <f aca="false">HYPERLINK("http://rover.ebay.com/rover/1/711-53200-19255-0/1?icep_ff3=9&amp;pub=5575076376&amp;toolid=10001&amp;campid=5338573609&amp;customid=&amp;icep_uq=tamron+28-75+sony&amp;icep_sellerId=&amp;icep_ex_kw=&amp;icep_sortBy=12&amp;icep_catId=3323&amp;icep_minPrice=&amp;icep_maxPrice=&amp;ipn=psmain&amp;icep_vectorid"&amp;"=229466&amp;kwid=902099&amp;mtid=824&amp;kw=lg","link*")</f>
        <v>link*</v>
      </c>
    </row>
    <row r="34" customFormat="false" ht="15.75" hidden="false" customHeight="false" outlineLevel="0" collapsed="false">
      <c r="A34" s="454" t="b">
        <f aca="false">FALSE()</f>
        <v>0</v>
      </c>
      <c r="B34" s="455" t="b">
        <f aca="false">FALSE()</f>
        <v>0</v>
      </c>
      <c r="C34" s="80" t="s">
        <v>102</v>
      </c>
      <c r="D34" s="81" t="n">
        <v>295</v>
      </c>
      <c r="E34" s="82" t="n">
        <v>28</v>
      </c>
      <c r="F34" s="83" t="s">
        <v>103</v>
      </c>
      <c r="G34" s="133" t="n">
        <v>73</v>
      </c>
      <c r="H34" s="139" t="n">
        <v>83</v>
      </c>
      <c r="I34" s="89" t="s">
        <v>30</v>
      </c>
      <c r="J34" s="87" t="s">
        <v>78</v>
      </c>
      <c r="K34" s="86" t="n">
        <v>0.19</v>
      </c>
      <c r="L34" s="88" t="n">
        <v>30</v>
      </c>
      <c r="M34" s="174" t="s">
        <v>50</v>
      </c>
      <c r="N34" s="86" t="n">
        <v>7</v>
      </c>
      <c r="O34" s="126" t="s">
        <v>61</v>
      </c>
      <c r="P34" s="86" t="s">
        <v>32</v>
      </c>
      <c r="Q34" s="91" t="n">
        <v>41548</v>
      </c>
      <c r="R34" s="92" t="n">
        <v>398</v>
      </c>
      <c r="S34" s="92" t="n">
        <v>110</v>
      </c>
      <c r="T34" s="93" t="str">
        <f aca="false">HYPERLINK("https://www.amazon.com/gp/product/B00FYOFADE/ref=as_li_tl?ie=UTF8&amp;tag=wwwphillipree-20&amp;camp=1789&amp;creative=9325&amp;linkCode=as2&amp;creativeASIN=B00FYOFADE&amp;linkId=96720b245156eae53bb1a672d4453d3f","link*")</f>
        <v>link*</v>
      </c>
      <c r="U34" s="93" t="str">
        <f aca="false">HYPERLINK("https://www.bhphotovideo.com/c/product/1015472-REG/sony_sel2870_fe_28_70mm_f_3_5_5_6_oss.html/BI/19619/KBID/12129/DFF/d10-v21-t1-x473993/SID/EZ","link*")</f>
        <v>link*</v>
      </c>
      <c r="V34" s="93" t="str">
        <f aca="false">HYPERLINK("https://www.amazon.de/gp/product/B00HSHFPD0/ref=as_li_tl?ie=UTF8&amp;tag=wwwphillipree-21&amp;camp=1638&amp;creative=6742&amp;linkCode=as2&amp;creativeASIN=B00HSHFPD0&amp;linkId=6701f30673f8a4071232ca85e1953506","link*")</f>
        <v>link*</v>
      </c>
      <c r="W34" s="93" t="str">
        <f aca="false">HYPERLINK("http://rover.ebay.com/rover/1/711-53200-19255-0/1?icep_ff3=10&amp;pub=5575153444&amp;toolid=10001&amp;campid=5338162593&amp;customid=&amp;icep_uq=Sony+28-70+FE&amp;icep_sellerId=&amp;icep_ex_kw=&amp;icep_sortBy=12&amp;icep_catId=&amp;icep_minPrice=&amp;icep_maxPrice=&amp;ipn=psmain&amp;icep_vectorid=229466"&amp;"&amp;kwid=902099&amp;mtid=824&amp;kw=lg","link*")</f>
        <v>link*</v>
      </c>
    </row>
    <row r="35" customFormat="false" ht="15.75" hidden="false" customHeight="false" outlineLevel="0" collapsed="false">
      <c r="A35" s="454" t="b">
        <f aca="false">FALSE()</f>
        <v>0</v>
      </c>
      <c r="B35" s="455" t="b">
        <f aca="false">FALSE()</f>
        <v>0</v>
      </c>
      <c r="C35" s="95" t="s">
        <v>104</v>
      </c>
      <c r="D35" s="25" t="n">
        <v>1215</v>
      </c>
      <c r="E35" s="26" t="n">
        <v>28</v>
      </c>
      <c r="F35" s="27" t="n">
        <v>4</v>
      </c>
      <c r="G35" s="130" t="n">
        <v>105</v>
      </c>
      <c r="H35" s="175" t="n">
        <v>165</v>
      </c>
      <c r="I35" s="30" t="s">
        <v>30</v>
      </c>
      <c r="J35" s="195" t="s">
        <v>105</v>
      </c>
      <c r="K35" s="32"/>
      <c r="L35" s="33" t="n">
        <v>40</v>
      </c>
      <c r="M35" s="176" t="s">
        <v>50</v>
      </c>
      <c r="N35" s="32" t="n">
        <v>9</v>
      </c>
      <c r="O35" s="34" t="s">
        <v>106</v>
      </c>
      <c r="P35" s="32" t="s">
        <v>32</v>
      </c>
      <c r="Q35" s="35" t="n">
        <v>41883</v>
      </c>
      <c r="R35" s="36" t="n">
        <v>2498</v>
      </c>
      <c r="S35" s="36" t="n">
        <v>1400</v>
      </c>
      <c r="T35" s="37" t="str">
        <f aca="false">HYPERLINK("http://amzn.to/2v2kiy9","link*")</f>
        <v>link*</v>
      </c>
      <c r="U35" s="37" t="str">
        <f aca="false">HYPERLINK("https://www.bhphotovideo.com/c/product/1082051-REG/sony_selp28135g_e_pz_28_135mm_f_4.html/BI/19619/KBID/12129/DFF/d10-v21-t1-x556056/SID/EZ","link*")</f>
        <v>link*</v>
      </c>
      <c r="V35" s="37" t="str">
        <f aca="false">HYPERLINK("http://amzn.to/2wlpg9b","link*")</f>
        <v>link*</v>
      </c>
      <c r="W35" s="37" t="str">
        <f aca="false">HYPERLINK("http://rover.ebay.com/rover/1/711-53200-19255-0/1?icep_ff3=10&amp;pub=5575076376&amp;toolid=10001&amp;campid=5338164340&amp;customid=&amp;icep_uq=sony+28-135&amp;icep_sellerId=&amp;icep_ex_kw=&amp;icep_sortBy=12&amp;icep_catId=&amp;icep_minPrice=&amp;icep_maxPrice=&amp;ipn=psmain&amp;icep_vectorid=229466&amp;k"&amp;"wid=902099&amp;mtid=824&amp;kw=lg","link*")</f>
        <v>link*</v>
      </c>
      <c r="X35" s="38" t="s">
        <v>107</v>
      </c>
    </row>
    <row r="36" customFormat="false" ht="15.75" hidden="false" customHeight="true" outlineLevel="0" collapsed="false">
      <c r="A36" s="454" t="b">
        <f aca="false">FALSE()</f>
        <v>0</v>
      </c>
      <c r="B36" s="455" t="b">
        <f aca="false">FALSE()</f>
        <v>0</v>
      </c>
      <c r="C36" s="113" t="str">
        <f aca="false">HYPERLINK("https://phillipreeve.net/blog/review-sigma-35mm-1-2-art-dg-dn/","Sigma Art 1.2/35")</f>
        <v>Sigma Art 1.2/35</v>
      </c>
      <c r="D36" s="40" t="n">
        <v>1090</v>
      </c>
      <c r="E36" s="41" t="n">
        <v>35</v>
      </c>
      <c r="F36" s="201" t="n">
        <v>1.2</v>
      </c>
      <c r="G36" s="133" t="n">
        <v>88</v>
      </c>
      <c r="H36" s="139" t="n">
        <v>136</v>
      </c>
      <c r="I36" s="47" t="s">
        <v>30</v>
      </c>
      <c r="J36" s="202" t="s">
        <v>52</v>
      </c>
      <c r="K36" s="47" t="n">
        <v>0.19</v>
      </c>
      <c r="L36" s="48" t="n">
        <v>30</v>
      </c>
      <c r="M36" s="45" t="s">
        <v>26</v>
      </c>
      <c r="N36" s="47" t="n">
        <v>11</v>
      </c>
      <c r="O36" s="79" t="n">
        <v>43816</v>
      </c>
      <c r="P36" s="47" t="s">
        <v>43</v>
      </c>
      <c r="Q36" s="50" t="n">
        <v>43647</v>
      </c>
      <c r="R36" s="51" t="n">
        <v>1499</v>
      </c>
      <c r="S36" s="51" t="s">
        <v>36</v>
      </c>
      <c r="T36" s="52" t="str">
        <f aca="false">HYPERLINK("https://amzn.to/2LiHhxc","link*")</f>
        <v>link*</v>
      </c>
      <c r="U36" s="52" t="str">
        <f aca="false">HYPERLINK("https://www.bhphotovideo.com/c/product/1492967-REG/sigma_341969_35mm_f_1_2_dg_dn.html/BI/19619/KBID/12129/DFF/d10-v21-t1-x976038/SID/EZ","link*")</f>
        <v>link*</v>
      </c>
      <c r="V36" s="140"/>
      <c r="W36" s="52" t="str">
        <f aca="false">HYPERLINK("http://rover.ebay.com/rover/1/711-53200-19255-0/1?icep_ff3=9&amp;pub=5575076376&amp;toolid=10001&amp;campid=5338573609&amp;customid=&amp;icep_uq=sigma+art+35+1.2+-1.4+sony&amp;icep_sellerId=&amp;icep_ex_kw=&amp;icep_sortBy=12&amp;icep_catId=3323&amp;icep_minPrice=&amp;icep_maxPrice=&amp;ipn=psmain&amp;icep"&amp;"_vectorid=229466&amp;kwid=902099&amp;mtid=824&amp;kw=lg","link*")</f>
        <v>link*</v>
      </c>
    </row>
    <row r="37" customFormat="false" ht="15.75" hidden="false" customHeight="false" outlineLevel="0" collapsed="false">
      <c r="A37" s="456" t="b">
        <f aca="false">FALSE()</f>
        <v>0</v>
      </c>
      <c r="B37" s="457" t="b">
        <f aca="false">FALSE()</f>
        <v>0</v>
      </c>
      <c r="C37" s="128" t="str">
        <f aca="false">HYPERLINK("https://phillipreeve.net/blog/review-sony-fe-35mm-1-4-za/","Sony ZA 1.4/35")</f>
        <v>Sony ZA 1.4/35</v>
      </c>
      <c r="D37" s="81" t="n">
        <v>630</v>
      </c>
      <c r="E37" s="82" t="n">
        <v>35</v>
      </c>
      <c r="F37" s="83" t="n">
        <v>1.4</v>
      </c>
      <c r="G37" s="133" t="n">
        <v>79</v>
      </c>
      <c r="H37" s="139" t="n">
        <v>112</v>
      </c>
      <c r="I37" s="86" t="s">
        <v>30</v>
      </c>
      <c r="J37" s="87" t="s">
        <v>49</v>
      </c>
      <c r="K37" s="86" t="n">
        <v>0.18</v>
      </c>
      <c r="L37" s="88" t="n">
        <v>30</v>
      </c>
      <c r="M37" s="89" t="s">
        <v>26</v>
      </c>
      <c r="N37" s="86" t="n">
        <v>9</v>
      </c>
      <c r="O37" s="122" t="n">
        <v>43689</v>
      </c>
      <c r="P37" s="86" t="s">
        <v>32</v>
      </c>
      <c r="Q37" s="91" t="n">
        <v>42064</v>
      </c>
      <c r="R37" s="92" t="n">
        <v>1599</v>
      </c>
      <c r="S37" s="92" t="n">
        <v>900</v>
      </c>
      <c r="T37" s="93" t="str">
        <f aca="false">HYPERLINK("https://amzn.to/2LRSMOS","link*")</f>
        <v>link*</v>
      </c>
      <c r="U37" s="93" t="str">
        <f aca="false">HYPERLINK("https://www.bhphotovideo.com/c/product/1126137-REG/sony_sel35f14z_distagon_t_fe_35mm.html/BI/19619/KBID/12129/DFF/d10-v21-t1-x612725/SID/EZ","link*")</f>
        <v>link*</v>
      </c>
      <c r="V37" s="93" t="str">
        <f aca="false">HYPERLINK("https://amzn.to/2ZmfSnX","link*")</f>
        <v>link*</v>
      </c>
      <c r="W37" s="93" t="str">
        <f aca="false">HYPERLINK("http://rover.ebay.com/rover/1/711-53200-19255-0/1?icep_ff3=9&amp;pub=5575076376&amp;toolid=10001&amp;campid=5338573609&amp;customid=&amp;icep_uq=sony+35+1.4+fe-a-mount&amp;icep_sellerId=&amp;icep_ex_kw=&amp;icep_sortBy=12&amp;icep_catId=3323&amp;icep_minPrice=&amp;icep_maxPrice=&amp;ipn=psmain&amp;icep_vec"&amp;"torid=229466&amp;kwid=902099&amp;mtid=824&amp;kw=lg","link*")</f>
        <v>link*</v>
      </c>
    </row>
    <row r="38" customFormat="false" ht="15.75" hidden="false" customHeight="true" outlineLevel="0" collapsed="false">
      <c r="A38" s="454" t="b">
        <f aca="false">FALSE()</f>
        <v>0</v>
      </c>
      <c r="B38" s="455" t="b">
        <f aca="false">FALSE()</f>
        <v>0</v>
      </c>
      <c r="C38" s="80" t="s">
        <v>261</v>
      </c>
      <c r="D38" s="81" t="n">
        <v>645</v>
      </c>
      <c r="E38" s="82" t="n">
        <v>35</v>
      </c>
      <c r="F38" s="83" t="n">
        <v>1.4</v>
      </c>
      <c r="G38" s="133" t="n">
        <v>76</v>
      </c>
      <c r="H38" s="134" t="n">
        <v>115</v>
      </c>
      <c r="I38" s="86" t="s">
        <v>30</v>
      </c>
      <c r="J38" s="87" t="s">
        <v>54</v>
      </c>
      <c r="K38" s="86" t="n">
        <v>0.17</v>
      </c>
      <c r="L38" s="88" t="n">
        <v>30</v>
      </c>
      <c r="M38" s="89" t="s">
        <v>26</v>
      </c>
      <c r="N38" s="86" t="n">
        <v>9</v>
      </c>
      <c r="O38" s="122" t="n">
        <v>43719</v>
      </c>
      <c r="P38" s="86" t="s">
        <v>47</v>
      </c>
      <c r="Q38" s="91" t="n">
        <v>43009</v>
      </c>
      <c r="R38" s="92" t="n">
        <v>799</v>
      </c>
      <c r="S38" s="92" t="n">
        <v>400</v>
      </c>
      <c r="T38" s="93" t="str">
        <f aca="false">HYPERLINK("https://amzn.to/2K8DDXH","link*")</f>
        <v>link*</v>
      </c>
      <c r="U38" s="93" t="str">
        <f aca="false">HYPERLINK("https://www.bhphotovideo.com/c/product/1373698-REG/samyang_syio3514_e_35mm_f1_4_auto_focus.html/BI/19619/KBID/12129/DFF/d10-v21-t1-x858016/SID/EZ","link*")</f>
        <v>link*</v>
      </c>
      <c r="V38" s="93" t="str">
        <f aca="false">HYPERLINK("https://amzn.to/2Zhl3FI","link*")</f>
        <v>link*</v>
      </c>
      <c r="W38" s="93" t="str">
        <f aca="false">HYPERLINK("http://rover.ebay.com/rover/1/711-53200-19255-0/1?icep_ff3=9&amp;pub=5575076376&amp;toolid=10001&amp;campid=5338573609&amp;customid=&amp;icep_uq=sony+35+1.4+samyang+af&amp;icep_sellerId=&amp;icep_ex_kw=&amp;icep_sortBy=12&amp;icep_catId=3323&amp;icep_minPrice=&amp;icep_maxPrice=&amp;ipn=psmain&amp;icep_vec"&amp;"torid=229466&amp;kwid=902099&amp;mtid=824&amp;kw=lg","link*")</f>
        <v>link*</v>
      </c>
      <c r="X38" s="69" t="s">
        <v>262</v>
      </c>
    </row>
    <row r="39" customFormat="false" ht="15.75" hidden="false" customHeight="false" outlineLevel="0" collapsed="false">
      <c r="A39" s="454" t="b">
        <f aca="false">FALSE()</f>
        <v>0</v>
      </c>
      <c r="B39" s="455" t="b">
        <f aca="false">FALSE()</f>
        <v>0</v>
      </c>
      <c r="C39" s="128" t="str">
        <f aca="false">HYPERLINK("https://phillipreeve.net/blog/review-voigtlander-35mm-1-4-nokton-e-classic/","Voigtlander 35mm F1.4 Nokton Classic")</f>
        <v>Voigtlander 35mm F1.4 Nokton Classic</v>
      </c>
      <c r="D39" s="81" t="n">
        <v>262</v>
      </c>
      <c r="E39" s="82" t="n">
        <v>35</v>
      </c>
      <c r="F39" s="83" t="n">
        <v>1.4</v>
      </c>
      <c r="G39" s="133" t="n">
        <v>67</v>
      </c>
      <c r="H39" s="134" t="n">
        <v>40</v>
      </c>
      <c r="I39" s="86" t="s">
        <v>24</v>
      </c>
      <c r="J39" s="87" t="s">
        <v>48</v>
      </c>
      <c r="K39" s="86" t="n">
        <v>0.16</v>
      </c>
      <c r="L39" s="88" t="n">
        <v>30</v>
      </c>
      <c r="M39" s="89" t="s">
        <v>26</v>
      </c>
      <c r="N39" s="86" t="n">
        <v>10</v>
      </c>
      <c r="O39" s="122" t="n">
        <v>43624</v>
      </c>
      <c r="P39" s="86" t="s">
        <v>28</v>
      </c>
      <c r="Q39" s="91" t="n">
        <v>43132</v>
      </c>
      <c r="R39" s="92" t="n">
        <v>799</v>
      </c>
      <c r="S39" s="92" t="n">
        <v>450</v>
      </c>
      <c r="T39" s="93" t="str">
        <f aca="false">HYPERLINK("https://amzn.to/2M1M8WH","link*")</f>
        <v>link*</v>
      </c>
      <c r="U39" s="93" t="str">
        <f aca="false">HYPERLINK("https://www.bhphotovideo.com/c/product/1381712-REG/voigtlander_nokton_classic_35mm_f_1_4.html/BI/19619/KBID/12129/DFF/d10-v21-t1-x877353/SID/EZ","link*")</f>
        <v>link*</v>
      </c>
      <c r="V39" s="93" t="str">
        <f aca="false">HYPERLINK("https://amzn.to/2ZswTZ3","link*")</f>
        <v>link*</v>
      </c>
      <c r="W39" s="93" t="str">
        <f aca="false">HYPERLINK("http://rover.ebay.com/rover/1/711-53200-19255-0/1?icep_ff3=9&amp;pub=5575076376&amp;toolid=10001&amp;campid=5338573609&amp;customid=&amp;icep_uq=Voigtlander+Sony+35mm+1.4&amp;icep_sellerId=&amp;icep_ex_kw=&amp;icep_sortBy=12&amp;icep_catId=3323&amp;icep_minPrice=&amp;icep_maxPrice=&amp;ipn=psmain&amp;icep_"&amp;"vectorid=229466&amp;kwid=902099&amp;mtid=824&amp;kw=lg","link*")</f>
        <v>link*</v>
      </c>
    </row>
    <row r="40" customFormat="false" ht="15.75" hidden="false" customHeight="true" outlineLevel="0" collapsed="false">
      <c r="A40" s="454" t="b">
        <f aca="false">FALSE()</f>
        <v>0</v>
      </c>
      <c r="B40" s="455" t="b">
        <f aca="false">FALSE()</f>
        <v>0</v>
      </c>
      <c r="C40" s="128" t="str">
        <f aca="false">HYPERLINK("https://phillipreeve.net/blog/review-sigma-35mm-1-4-art/","Sigma Art 1.4/35")</f>
        <v>Sigma Art 1.4/35</v>
      </c>
      <c r="D40" s="81" t="n">
        <v>740</v>
      </c>
      <c r="E40" s="82" t="n">
        <v>35</v>
      </c>
      <c r="F40" s="83" t="n">
        <v>1.4</v>
      </c>
      <c r="G40" s="133" t="n">
        <v>77</v>
      </c>
      <c r="H40" s="134" t="n">
        <v>121</v>
      </c>
      <c r="I40" s="86" t="s">
        <v>30</v>
      </c>
      <c r="J40" s="87" t="s">
        <v>54</v>
      </c>
      <c r="K40" s="86" t="n">
        <v>0.19</v>
      </c>
      <c r="L40" s="88" t="n">
        <v>30</v>
      </c>
      <c r="M40" s="89" t="s">
        <v>26</v>
      </c>
      <c r="N40" s="86" t="n">
        <v>9</v>
      </c>
      <c r="O40" s="122" t="n">
        <v>43782</v>
      </c>
      <c r="P40" s="86" t="s">
        <v>43</v>
      </c>
      <c r="Q40" s="91" t="n">
        <v>43221</v>
      </c>
      <c r="R40" s="145" t="n">
        <v>899</v>
      </c>
      <c r="S40" s="145" t="n">
        <v>600</v>
      </c>
      <c r="T40" s="93" t="str">
        <f aca="false">HYPERLINK("https://amzn.to/2LOaQcZ","link*")</f>
        <v>link*</v>
      </c>
      <c r="U40" s="93" t="str">
        <f aca="false">HYPERLINK("https://www.bhphotovideo.com/c/product/1393492-REG/sigma_35mm_f_1_4_dg_hsm.html/BI/19619/KBID/12129/DFF/d10-v21-t1-x881157/SID/EZ","link*")</f>
        <v>link*</v>
      </c>
      <c r="V40" s="93" t="str">
        <f aca="false">HYPERLINK("https://amzn.to/2ZrfakE","link*")</f>
        <v>link*</v>
      </c>
      <c r="W40" s="93" t="str">
        <f aca="false">HYPERLINK("http://rover.ebay.com/rover/1/711-53200-19255-0/1?icep_ff3=9&amp;pub=5575076376&amp;toolid=10001&amp;campid=5338573609&amp;customid=&amp;icep_uq=sony+35+1.4+sigma+af&amp;icep_sellerId=&amp;icep_ex_kw=&amp;icep_sortBy=12&amp;icep_catId=3323&amp;icep_minPrice=&amp;icep_maxPrice=&amp;ipn=psmain&amp;icep_vecto"&amp;"rid=229466&amp;kwid=902099&amp;mtid=824&amp;kw=lg","link*")</f>
        <v>link*</v>
      </c>
      <c r="X40" s="69" t="s">
        <v>260</v>
      </c>
    </row>
    <row r="41" customFormat="false" ht="15.75" hidden="false" customHeight="false" outlineLevel="0" collapsed="false">
      <c r="A41" s="454" t="b">
        <f aca="false">FALSE()</f>
        <v>0</v>
      </c>
      <c r="B41" s="455" t="b">
        <f aca="false">FALSE()</f>
        <v>0</v>
      </c>
      <c r="C41" s="128" t="str">
        <f aca="false">HYPERLINK("https://phillipreeve.net/blog/review-sony-fe-35mm-f1-8/","Sony FE 1.8/35")</f>
        <v>Sony FE 1.8/35</v>
      </c>
      <c r="D41" s="81" t="n">
        <v>280</v>
      </c>
      <c r="E41" s="82" t="n">
        <v>35</v>
      </c>
      <c r="F41" s="83" t="n">
        <v>1.8</v>
      </c>
      <c r="G41" s="133" t="n">
        <v>66</v>
      </c>
      <c r="H41" s="134" t="n">
        <v>73</v>
      </c>
      <c r="I41" s="86" t="s">
        <v>30</v>
      </c>
      <c r="J41" s="87" t="s">
        <v>78</v>
      </c>
      <c r="K41" s="389" t="n">
        <v>0.24</v>
      </c>
      <c r="L41" s="88" t="n">
        <v>22</v>
      </c>
      <c r="M41" s="89" t="s">
        <v>26</v>
      </c>
      <c r="N41" s="86" t="n">
        <v>9</v>
      </c>
      <c r="O41" s="122" t="n">
        <v>43719</v>
      </c>
      <c r="P41" s="86" t="s">
        <v>32</v>
      </c>
      <c r="Q41" s="91" t="n">
        <v>43647</v>
      </c>
      <c r="R41" s="92" t="n">
        <v>749</v>
      </c>
      <c r="S41" s="92" t="s">
        <v>36</v>
      </c>
      <c r="T41" s="93" t="str">
        <f aca="false">HYPERLINK("https://amzn.to/31HFLMg","link*")</f>
        <v>link*</v>
      </c>
      <c r="U41" s="93" t="str">
        <f aca="false">HYPERLINK("https://www.bhphotovideo.com/c/product/1492866-REG/sony_sel35f18f_35mm_f_1_8_fe_lens.html/BI/19619/KBID/12129/DFF/d10-v21-t1-x975763/SID/EZ","link*")</f>
        <v>link*</v>
      </c>
      <c r="V41" s="93" t="str">
        <f aca="false">HYPERLINK("https://amzn.to/2PiATLC","link*")</f>
        <v>link*</v>
      </c>
      <c r="W41" s="93" t="str">
        <f aca="false">HYPERLINK("http://rover.ebay.com/rover/1/711-53200-19255-0/1?icep_ff3=9&amp;pub=5575076376&amp;toolid=10001&amp;campid=5338573609&amp;customid=&amp;icep_uq=sony+fe+35+1.8&amp;icep_sellerId=&amp;icep_ex_kw=&amp;icep_sortBy=12&amp;icep_catId=3323&amp;icep_minPrice=&amp;icep_maxPrice=&amp;ipn=psmain&amp;icep_vectorid=22"&amp;"9466&amp;kwid=902099&amp;mtid=824&amp;kw=lg","link*")</f>
        <v>link*</v>
      </c>
    </row>
    <row r="42" customFormat="false" ht="15.75" hidden="false" customHeight="true" outlineLevel="0" collapsed="false">
      <c r="A42" s="454" t="b">
        <f aca="false">FALSE()</f>
        <v>0</v>
      </c>
      <c r="B42" s="455" t="b">
        <f aca="false">FALSE()</f>
        <v>0</v>
      </c>
      <c r="C42" s="128" t="str">
        <f aca="false">HYPERLINK("https://phillipreeve.net/blog/review-zeiss-loxia-35mm-2-0/","Zeiss Loxia 2/35 Biogon T*")</f>
        <v>Zeiss Loxia 2/35 Biogon T*</v>
      </c>
      <c r="D42" s="81" t="n">
        <v>340</v>
      </c>
      <c r="E42" s="82" t="n">
        <v>35</v>
      </c>
      <c r="F42" s="83" t="n">
        <v>2</v>
      </c>
      <c r="G42" s="133" t="n">
        <v>62</v>
      </c>
      <c r="H42" s="139" t="n">
        <v>66</v>
      </c>
      <c r="I42" s="86" t="s">
        <v>24</v>
      </c>
      <c r="J42" s="87" t="s">
        <v>73</v>
      </c>
      <c r="K42" s="86" t="n">
        <v>0.17</v>
      </c>
      <c r="L42" s="88" t="n">
        <v>30</v>
      </c>
      <c r="M42" s="89" t="s">
        <v>26</v>
      </c>
      <c r="N42" s="86" t="n">
        <v>10</v>
      </c>
      <c r="O42" s="122" t="n">
        <v>43625</v>
      </c>
      <c r="P42" s="86" t="s">
        <v>59</v>
      </c>
      <c r="Q42" s="91" t="n">
        <v>41974</v>
      </c>
      <c r="R42" s="92" t="n">
        <v>1299</v>
      </c>
      <c r="S42" s="92" t="n">
        <v>630</v>
      </c>
      <c r="T42" s="93" t="str">
        <f aca="false">HYPERLINK("https://amzn.to/2T2sJWe","link*")</f>
        <v>link*</v>
      </c>
      <c r="U42" s="93" t="str">
        <f aca="false">HYPERLINK("https://www.bhphotovideo.com/c/product/1080388-REG/zeiss_2103_749_loxia_35mm_f_2_biogon.html/BI/19619/KBID/12129/DFF/d10-v21-t1-x553792/SID/EZ","link*")</f>
        <v>link*</v>
      </c>
      <c r="V42" s="94" t="s">
        <v>33</v>
      </c>
      <c r="W42" s="93" t="str">
        <f aca="false">HYPERLINK("http://rover.ebay.com/rover/1/711-53200-19255-0/1?icep_ff3=9&amp;pub=5575076376&amp;toolid=10001&amp;campid=5338573609&amp;customid=&amp;icep_uq=loxia+35&amp;icep_sellerId=&amp;icep_ex_kw=&amp;icep_sortBy=12&amp;icep_catId=3323&amp;icep_minPrice=&amp;icep_maxPrice=&amp;ipn=psmain&amp;icep_vectorid=229466&amp;k"&amp;"wid=902099&amp;mtid=824&amp;kw=lg","link*")</f>
        <v>link*</v>
      </c>
      <c r="X42" s="69" t="s">
        <v>283</v>
      </c>
    </row>
    <row r="43" customFormat="false" ht="15.75" hidden="false" customHeight="false" outlineLevel="0" collapsed="false">
      <c r="A43" s="454" t="b">
        <f aca="false">FALSE()</f>
        <v>0</v>
      </c>
      <c r="B43" s="455" t="b">
        <f aca="false">FALSE()</f>
        <v>0</v>
      </c>
      <c r="C43" s="128" t="str">
        <f aca="false">HYPERLINK("http://www.photozone.de/sonyalphaff/865-zeiss35f28ff","Sony ZA 2.8/35")</f>
        <v>Sony ZA 2.8/35</v>
      </c>
      <c r="D43" s="81" t="n">
        <v>120</v>
      </c>
      <c r="E43" s="82" t="n">
        <v>35</v>
      </c>
      <c r="F43" s="83" t="n">
        <v>2.8</v>
      </c>
      <c r="G43" s="133" t="n">
        <v>62</v>
      </c>
      <c r="H43" s="139" t="n">
        <v>37</v>
      </c>
      <c r="I43" s="86" t="s">
        <v>30</v>
      </c>
      <c r="J43" s="87" t="s">
        <v>80</v>
      </c>
      <c r="K43" s="86" t="n">
        <v>0.12</v>
      </c>
      <c r="L43" s="88" t="n">
        <v>35</v>
      </c>
      <c r="M43" s="89" t="s">
        <v>26</v>
      </c>
      <c r="N43" s="86" t="n">
        <v>9</v>
      </c>
      <c r="O43" s="122" t="n">
        <v>43592</v>
      </c>
      <c r="P43" s="86" t="s">
        <v>32</v>
      </c>
      <c r="Q43" s="91" t="n">
        <v>41487</v>
      </c>
      <c r="R43" s="92" t="n">
        <v>798</v>
      </c>
      <c r="S43" s="92" t="n">
        <v>410</v>
      </c>
      <c r="T43" s="93" t="str">
        <f aca="false">HYPERLINK("https://amzn.to/2yvhL24","link*")</f>
        <v>link*</v>
      </c>
      <c r="U43" s="93" t="str">
        <f aca="false">HYPERLINK("https://www.bhphotovideo.com/c/product/1008123-REG/sony_sel35f28z_sonnar_t_fe_35mm.html/BI/19619/KBID/12129/DFF/d10-v21-t1-x466840/SID/EZ","link*")</f>
        <v>link*</v>
      </c>
      <c r="V43" s="94" t="s">
        <v>33</v>
      </c>
      <c r="W43" s="93" t="str">
        <f aca="false">HYPERLINK("http://rover.ebay.com/rover/1/711-53200-19255-0/1?icep_ff3=9&amp;pub=5575076376&amp;toolid=10001&amp;campid=5338573609&amp;customid=&amp;icep_uq=sony+35+2.8+&amp;icep_sellerId=&amp;icep_ex_kw=&amp;icep_sortBy=12&amp;icep_catId=3323&amp;icep_minPrice=&amp;icep_maxPrice=&amp;ipn=psmain&amp;icep_vectorid=2294"&amp;"66&amp;kwid=902099&amp;mtid=824&amp;kw=lg","link*")</f>
        <v>link*</v>
      </c>
    </row>
    <row r="44" customFormat="false" ht="15.75" hidden="false" customHeight="false" outlineLevel="0" collapsed="false">
      <c r="A44" s="454" t="b">
        <f aca="false">FALSE()</f>
        <v>0</v>
      </c>
      <c r="B44" s="455" t="b">
        <f aca="false">FALSE()</f>
        <v>0</v>
      </c>
      <c r="C44" s="95" t="s">
        <v>125</v>
      </c>
      <c r="D44" s="25" t="n">
        <v>86</v>
      </c>
      <c r="E44" s="26" t="n">
        <v>35</v>
      </c>
      <c r="F44" s="27" t="n">
        <v>2.8</v>
      </c>
      <c r="G44" s="130" t="n">
        <v>62</v>
      </c>
      <c r="H44" s="175" t="n">
        <v>33</v>
      </c>
      <c r="I44" s="32" t="s">
        <v>30</v>
      </c>
      <c r="J44" s="31" t="s">
        <v>80</v>
      </c>
      <c r="K44" s="32" t="n">
        <v>0.12</v>
      </c>
      <c r="L44" s="33" t="n">
        <v>35</v>
      </c>
      <c r="M44" s="30" t="s">
        <v>26</v>
      </c>
      <c r="N44" s="32" t="n">
        <v>9</v>
      </c>
      <c r="O44" s="98" t="n">
        <v>43623</v>
      </c>
      <c r="P44" s="32" t="s">
        <v>47</v>
      </c>
      <c r="Q44" s="35" t="n">
        <v>42917</v>
      </c>
      <c r="R44" s="213" t="n">
        <v>399</v>
      </c>
      <c r="S44" s="213" t="n">
        <v>210</v>
      </c>
      <c r="T44" s="37" t="str">
        <f aca="false">HYPERLINK("https://amzn.to/2MGKrxp","link*")</f>
        <v>link*</v>
      </c>
      <c r="U44" s="37" t="str">
        <f aca="false">HYPERLINK("https://www.bhphotovideo.com/c/product/1348365-REG/samyang_syio35af_e_35mm_f2_8_compact_wide.html/BI/19619/KBID/12129/DFF/d10-v21-t1-x832776/SID/EZ","link*")</f>
        <v>link*</v>
      </c>
      <c r="V44" s="71" t="s">
        <v>33</v>
      </c>
      <c r="W44" s="37" t="str">
        <f aca="false">HYPERLINK("http://rover.ebay.com/rover/1/711-53200-19255-0/1?icep_ff3=9&amp;pub=5575076376&amp;toolid=10001&amp;campid=5338573609&amp;customid=&amp;icep_uq=samyang+35+2.8+&amp;icep_sellerId=&amp;icep_ex_kw=&amp;icep_sortBy=12&amp;icep_catId=3323&amp;icep_minPrice=&amp;icep_maxPrice=&amp;ipn=psmain&amp;icep_vectorid=2"&amp;"29466&amp;kwid=902099&amp;mtid=824&amp;kw=lg","link*")</f>
        <v>link*</v>
      </c>
      <c r="X44" s="38"/>
    </row>
    <row r="45" customFormat="false" ht="15.75" hidden="false" customHeight="false" outlineLevel="0" collapsed="false">
      <c r="A45" s="454" t="b">
        <f aca="false">FALSE()</f>
        <v>0</v>
      </c>
      <c r="B45" s="455" t="b">
        <f aca="false">FALSE()</f>
        <v>0</v>
      </c>
      <c r="C45" s="113" t="str">
        <f aca="false">HYPERLINK("https://phillipreeve.net/blog/voigtlander-40mm-f1-2-nokton-aspherical-rolling-review/","Voigtlander 40mm F1.2 Nokton")</f>
        <v>Voigtlander 40mm F1.2 Nokton</v>
      </c>
      <c r="D45" s="40" t="n">
        <v>420</v>
      </c>
      <c r="E45" s="41" t="n">
        <v>40</v>
      </c>
      <c r="F45" s="214" t="n">
        <v>1.2</v>
      </c>
      <c r="G45" s="133" t="n">
        <v>70</v>
      </c>
      <c r="H45" s="139" t="n">
        <v>59</v>
      </c>
      <c r="I45" s="47" t="s">
        <v>24</v>
      </c>
      <c r="J45" s="46" t="s">
        <v>48</v>
      </c>
      <c r="K45" s="47" t="n">
        <v>0.16</v>
      </c>
      <c r="L45" s="48" t="n">
        <v>35</v>
      </c>
      <c r="M45" s="45" t="s">
        <v>26</v>
      </c>
      <c r="N45" s="47" t="n">
        <v>10</v>
      </c>
      <c r="O45" s="79" t="n">
        <v>43624</v>
      </c>
      <c r="P45" s="47" t="s">
        <v>28</v>
      </c>
      <c r="Q45" s="50" t="n">
        <v>43040</v>
      </c>
      <c r="R45" s="51" t="n">
        <v>1099</v>
      </c>
      <c r="S45" s="51" t="n">
        <v>780</v>
      </c>
      <c r="T45" s="52" t="str">
        <f aca="false">HYPERLINK("https://amzn.to/2A412DK","link*")</f>
        <v>link*</v>
      </c>
      <c r="U45" s="52" t="str">
        <f aca="false">HYPERLINK("https://www.bhphotovideo.com/c/product/1362557-REG/voigtlander_nokton_40mm_f_1_2_aspherical.html/BI/19619/KBID/12129/DFF/d10-v21-t1-x851241/SID/EZ","link*")</f>
        <v>link*</v>
      </c>
      <c r="V45" s="140" t="s">
        <v>33</v>
      </c>
      <c r="W45" s="52" t="str">
        <f aca="false">HYPERLINK("http://rover.ebay.com/rover/1/711-53200-19255-0/1?icep_ff3=9&amp;pub=5575076376&amp;toolid=10001&amp;campid=5338573609&amp;customid=&amp;icep_uq=Voigtlander+Sony+40mm+1.2&amp;icep_sellerId=&amp;icep_ex_kw=&amp;icep_sortBy=12&amp;icep_catId=3323&amp;icep_minPrice=&amp;icep_maxPrice=&amp;ipn=psmain&amp;icep_"&amp;"vectorid=229466&amp;kwid=902099&amp;mtid=824&amp;kw=lg","link*")</f>
        <v>link*</v>
      </c>
    </row>
    <row r="46" customFormat="false" ht="15.75" hidden="false" customHeight="false" outlineLevel="0" collapsed="false">
      <c r="A46" s="454" t="b">
        <f aca="false">FALSE()</f>
        <v>0</v>
      </c>
      <c r="B46" s="455" t="b">
        <f aca="false">FALSE()</f>
        <v>0</v>
      </c>
      <c r="C46" s="128" t="str">
        <f aca="false">HYPERLINK("https://phillipreeve.net/blog/review-sigma-40mm-1-4-art/","Sigma Art 1.4/40")</f>
        <v>Sigma Art 1.4/40</v>
      </c>
      <c r="D46" s="81" t="n">
        <v>1265</v>
      </c>
      <c r="E46" s="82" t="n">
        <v>40</v>
      </c>
      <c r="F46" s="83" t="n">
        <v>1.4</v>
      </c>
      <c r="G46" s="133" t="n">
        <v>88</v>
      </c>
      <c r="H46" s="134" t="n">
        <v>157</v>
      </c>
      <c r="I46" s="86" t="s">
        <v>30</v>
      </c>
      <c r="J46" s="215" t="s">
        <v>52</v>
      </c>
      <c r="K46" s="86" t="n">
        <v>0.15</v>
      </c>
      <c r="L46" s="88" t="n">
        <v>40</v>
      </c>
      <c r="M46" s="89" t="s">
        <v>26</v>
      </c>
      <c r="N46" s="86" t="n">
        <v>9</v>
      </c>
      <c r="O46" s="122" t="n">
        <v>43815</v>
      </c>
      <c r="P46" s="86" t="s">
        <v>43</v>
      </c>
      <c r="Q46" s="91" t="n">
        <v>43435</v>
      </c>
      <c r="R46" s="92" t="n">
        <v>1399</v>
      </c>
      <c r="S46" s="92" t="s">
        <v>36</v>
      </c>
      <c r="T46" s="93" t="str">
        <f aca="false">HYPERLINK("https://amzn.to/2SYXFXq","link*")</f>
        <v>link*</v>
      </c>
      <c r="U46" s="93" t="str">
        <f aca="false">HYPERLINK("https://www.bhphotovideo.com/c/product/1436292-REG/sigma_40mm_f_1_4_dg_hsm.html/BI/19619/KBID/12129/DFF/d10-v21-t1-x925196/SID/EZ","link*")</f>
        <v>link*</v>
      </c>
      <c r="V46" s="94" t="s">
        <v>33</v>
      </c>
      <c r="W46" s="93" t="str">
        <f aca="false">HYPERLINK("http://rover.ebay.com/rover/1/711-53200-19255-0/1?icep_ff3=9&amp;pub=5575076376&amp;toolid=10001&amp;campid=5338164340&amp;customid=&amp;icep_uq=sigma+40+1.4+art+sony&amp;icep_sellerId=&amp;icep_ex_kw=&amp;icep_sortBy=12&amp;icep_catId=3323&amp;icep_minPrice=&amp;icep_maxPrice=&amp;ipn=psmain&amp;icep_vect"&amp;"orid=229466&amp;kwid=902099&amp;mtid=824&amp;kw=lg","link*")</f>
        <v>link*</v>
      </c>
      <c r="X46" s="69" t="s">
        <v>260</v>
      </c>
    </row>
    <row r="47" customFormat="false" ht="15.75" hidden="false" customHeight="false" outlineLevel="0" collapsed="false">
      <c r="A47" s="454" t="b">
        <f aca="false">FALSE()</f>
        <v>0</v>
      </c>
      <c r="B47" s="455" t="b">
        <f aca="false">FALSE()</f>
        <v>0</v>
      </c>
      <c r="C47" s="24" t="str">
        <f aca="false">HYPERLINK("https://phillipreeve.net/blog/review-zeiss-batis-2-40-cf/","Zeiss Batis 2/40 CF T*")</f>
        <v>Zeiss Batis 2/40 CF T*</v>
      </c>
      <c r="D47" s="25" t="n">
        <v>361</v>
      </c>
      <c r="E47" s="26" t="n">
        <v>40</v>
      </c>
      <c r="F47" s="27" t="n">
        <v>2</v>
      </c>
      <c r="G47" s="130" t="n">
        <v>91</v>
      </c>
      <c r="H47" s="131" t="n">
        <v>93</v>
      </c>
      <c r="I47" s="32" t="s">
        <v>30</v>
      </c>
      <c r="J47" s="31" t="s">
        <v>54</v>
      </c>
      <c r="K47" s="231" t="n">
        <v>0.3</v>
      </c>
      <c r="L47" s="33" t="n">
        <v>24</v>
      </c>
      <c r="M47" s="30" t="s">
        <v>26</v>
      </c>
      <c r="N47" s="32" t="n">
        <v>9</v>
      </c>
      <c r="O47" s="98" t="n">
        <v>43686</v>
      </c>
      <c r="P47" s="32" t="s">
        <v>59</v>
      </c>
      <c r="Q47" s="35" t="n">
        <v>43435</v>
      </c>
      <c r="R47" s="36" t="n">
        <v>1299</v>
      </c>
      <c r="S47" s="36" t="n">
        <v>950</v>
      </c>
      <c r="T47" s="37" t="str">
        <f aca="false">HYPERLINK("https://amzn.to/2LUN0MF","link*")</f>
        <v>link*</v>
      </c>
      <c r="U47" s="37" t="str">
        <f aca="false">HYPERLINK("https://www.bhphotovideo.com/c/product/1436738-REG/zeiss_000000_2239_137_batis_40mm_f_2_cf.html/BI/19619/KBID/12129/DFF/d10-v21-t1-x915694/SID/EZ","link*")</f>
        <v>link*</v>
      </c>
      <c r="V47" s="71" t="s">
        <v>33</v>
      </c>
      <c r="W47" s="37" t="str">
        <f aca="false">HYPERLINK("http://rover.ebay.com/rover/1/711-53200-19255-0/1?icep_ff3=9&amp;pub=5575076376&amp;toolid=10001&amp;campid=5338164340&amp;customid=&amp;icep_uq=batis+40&amp;icep_sellerId=&amp;icep_ex_kw=&amp;icep_sortBy=12&amp;icep_catId=3323&amp;icep_minPrice=&amp;icep_maxPrice=&amp;ipn=psmain&amp;icep_vectorid=229466&amp;k"&amp;"wid=902099&amp;mtid=824&amp;kw=lg","link*")</f>
        <v>link*</v>
      </c>
      <c r="X47" s="38" t="s">
        <v>264</v>
      </c>
    </row>
    <row r="48" customFormat="false" ht="15.75" hidden="false" customHeight="false" outlineLevel="0" collapsed="false">
      <c r="A48" s="454" t="b">
        <f aca="false">FALSE()</f>
        <v>0</v>
      </c>
      <c r="B48" s="455" t="b">
        <f aca="false">FALSE()</f>
        <v>0</v>
      </c>
      <c r="C48" s="39" t="s">
        <v>129</v>
      </c>
      <c r="D48" s="40" t="n">
        <v>162</v>
      </c>
      <c r="E48" s="41" t="n">
        <v>45</v>
      </c>
      <c r="F48" s="42" t="n">
        <v>1.8</v>
      </c>
      <c r="G48" s="133" t="n">
        <v>62</v>
      </c>
      <c r="H48" s="134" t="n">
        <v>56</v>
      </c>
      <c r="I48" s="47" t="s">
        <v>30</v>
      </c>
      <c r="J48" s="46" t="s">
        <v>80</v>
      </c>
      <c r="K48" s="47" t="n">
        <v>0.12</v>
      </c>
      <c r="L48" s="48" t="n">
        <v>45</v>
      </c>
      <c r="M48" s="45" t="s">
        <v>26</v>
      </c>
      <c r="N48" s="47" t="n">
        <v>9</v>
      </c>
      <c r="O48" s="79" t="n">
        <v>43623</v>
      </c>
      <c r="P48" s="47" t="s">
        <v>47</v>
      </c>
      <c r="Q48" s="50" t="n">
        <v>43647</v>
      </c>
      <c r="R48" s="232" t="n">
        <v>399</v>
      </c>
      <c r="S48" s="232" t="n">
        <v>300</v>
      </c>
      <c r="T48" s="52" t="str">
        <f aca="false">HYPERLINK("https://amzn.to/2YC6MST","link*")</f>
        <v>link*</v>
      </c>
      <c r="U48" s="52" t="str">
        <f aca="false">HYPERLINK("https://www.bhphotovideo.com/c/product/1478738-REG/samyang_af_45mm_f_1_8_fe.html/BI/19619/KBID/12129/DFF/d10-v21-t1-x964329/SID/EZ","link*")</f>
        <v>link*</v>
      </c>
      <c r="V48" s="140" t="s">
        <v>33</v>
      </c>
      <c r="W48" s="52" t="str">
        <f aca="false">HYPERLINK("http://rover.ebay.com/rover/1/711-53200-19255-0/1?icep_ff3=9&amp;pub=5575076376&amp;toolid=10001&amp;campid=5338164340&amp;customid=&amp;icep_uq=samyang+45mm+sony&amp;icep_sellerId=&amp;icep_ex_kw=&amp;icep_sortBy=12&amp;icep_catId=3323&amp;icep_minPrice=&amp;icep_maxPrice=&amp;ipn=psmain&amp;icep_vectorid"&amp;"=229466&amp;kwid=902099&amp;mtid=824&amp;kw=lg","link*")</f>
        <v>link*</v>
      </c>
    </row>
    <row r="49" customFormat="false" ht="15.75" hidden="false" customHeight="false" outlineLevel="0" collapsed="false">
      <c r="A49" s="454" t="b">
        <f aca="false">FALSE()</f>
        <v>0</v>
      </c>
      <c r="B49" s="455" t="b">
        <f aca="false">FALSE()</f>
        <v>0</v>
      </c>
      <c r="C49" s="95" t="s">
        <v>130</v>
      </c>
      <c r="D49" s="25" t="n">
        <v>215</v>
      </c>
      <c r="E49" s="26" t="n">
        <v>45</v>
      </c>
      <c r="F49" s="27" t="n">
        <v>2.8</v>
      </c>
      <c r="G49" s="130" t="n">
        <v>64</v>
      </c>
      <c r="H49" s="175" t="n">
        <v>46</v>
      </c>
      <c r="I49" s="32" t="s">
        <v>30</v>
      </c>
      <c r="J49" s="31" t="s">
        <v>78</v>
      </c>
      <c r="K49" s="233" t="n">
        <v>0.25</v>
      </c>
      <c r="L49" s="33" t="n">
        <v>24</v>
      </c>
      <c r="M49" s="30" t="s">
        <v>26</v>
      </c>
      <c r="N49" s="32" t="n">
        <v>7</v>
      </c>
      <c r="O49" s="98" t="n">
        <v>43654</v>
      </c>
      <c r="P49" s="32" t="s">
        <v>43</v>
      </c>
      <c r="Q49" s="35" t="n">
        <v>43647</v>
      </c>
      <c r="R49" s="36" t="n">
        <v>549</v>
      </c>
      <c r="S49" s="36" t="s">
        <v>36</v>
      </c>
      <c r="T49" s="37" t="str">
        <f aca="false">HYPERLINK("https://amzn.to/2SYEvAX","link*")</f>
        <v>link*</v>
      </c>
      <c r="U49" s="37" t="str">
        <f aca="false">HYPERLINK("https://www.bhphotovideo.com/c/product/1492966-REG/sigma_360965_45mm_f_2_8_dg_dn.html/BI/19619/KBID/12129/DFF/d10-v21-t1-x976020/SID/EZ","link*")</f>
        <v>link*</v>
      </c>
      <c r="V49" s="71" t="s">
        <v>33</v>
      </c>
      <c r="W49" s="37" t="str">
        <f aca="false">HYPERLINK("http://rover.ebay.com/rover/1/711-53200-19255-0/1?icep_ff3=9&amp;pub=5575076376&amp;toolid=10001&amp;campid=5338164340&amp;customid=&amp;icep_uq=sigma+45+2.8+sony&amp;icep_sellerId=&amp;icep_ex_kw=&amp;icep_sortBy=12&amp;icep_catId=3323&amp;icep_minPrice=&amp;icep_maxPrice=&amp;ipn=psmain&amp;icep_vectorid"&amp;"=229466&amp;kwid=902099&amp;mtid=824&amp;kw=lg","link*")</f>
        <v>link*</v>
      </c>
      <c r="X49" s="38" t="s">
        <v>265</v>
      </c>
    </row>
    <row r="50" customFormat="false" ht="15.75" hidden="false" customHeight="false" outlineLevel="0" collapsed="false">
      <c r="A50" s="454" t="b">
        <f aca="false">FALSE()</f>
        <v>0</v>
      </c>
      <c r="B50" s="455" t="b">
        <f aca="false">FALSE()</f>
        <v>0</v>
      </c>
      <c r="C50" s="113" t="str">
        <f aca="false">HYPERLINK("https://phillipreeve.net/blog/review-voigtlander-50mm-1-2-nokton-e/","Voigtlander 50mm F1.2 Nokton")</f>
        <v>Voigtlander 50mm F1.2 Nokton</v>
      </c>
      <c r="D50" s="40" t="n">
        <v>440</v>
      </c>
      <c r="E50" s="41" t="n">
        <v>50</v>
      </c>
      <c r="F50" s="214" t="n">
        <v>1.2</v>
      </c>
      <c r="G50" s="133" t="n">
        <v>70</v>
      </c>
      <c r="H50" s="139" t="n">
        <v>58</v>
      </c>
      <c r="I50" s="47" t="s">
        <v>24</v>
      </c>
      <c r="J50" s="46" t="s">
        <v>48</v>
      </c>
      <c r="K50" s="47" t="n">
        <v>0.15</v>
      </c>
      <c r="L50" s="48" t="n">
        <v>45</v>
      </c>
      <c r="M50" s="45" t="s">
        <v>26</v>
      </c>
      <c r="N50" s="47" t="n">
        <v>12</v>
      </c>
      <c r="O50" s="79" t="n">
        <v>43624</v>
      </c>
      <c r="P50" s="47" t="s">
        <v>28</v>
      </c>
      <c r="Q50" s="50" t="n">
        <v>43556</v>
      </c>
      <c r="R50" s="51" t="n">
        <v>1099</v>
      </c>
      <c r="S50" s="51" t="s">
        <v>36</v>
      </c>
      <c r="T50" s="52" t="str">
        <f aca="false">HYPERLINK("https://amzn.to/2OAfE7N","link*")</f>
        <v>link*</v>
      </c>
      <c r="U50" s="52" t="str">
        <f aca="false">HYPERLINK("https://www.bhphotovideo.com/c/product/1433349-REG/voigtlander_ba348a_nokton_50mm_f_1_2_aspherical.html/BI/19619/KBID/12129/DFF/d10-v21-t1-x915623/SID/EZ","link*")</f>
        <v>link*</v>
      </c>
      <c r="V50" s="140" t="s">
        <v>33</v>
      </c>
      <c r="W50" s="52" t="str">
        <f aca="false">HYPERLINK("http://rover.ebay.com/rover/1/711-53200-19255-0/1?icep_ff3=9&amp;pub=5575076376&amp;toolid=10001&amp;campid=5338164340&amp;customid=&amp;icep_uq=voigtlander+sony+50+1.2&amp;icep_sellerId=&amp;icep_ex_kw=&amp;icep_sortBy=12&amp;icep_catId=3323&amp;icep_minPrice=&amp;icep_maxPrice=&amp;ipn=psmain&amp;icep_ve"&amp;"ctorid=229466&amp;kwid=902099&amp;mtid=824&amp;kw=lg","link*")</f>
        <v>link*</v>
      </c>
    </row>
    <row r="51" customFormat="false" ht="15.75" hidden="false" customHeight="false" outlineLevel="0" collapsed="false">
      <c r="A51" s="456" t="b">
        <f aca="false">FALSE()</f>
        <v>0</v>
      </c>
      <c r="B51" s="457" t="b">
        <f aca="false">FALSE()</f>
        <v>0</v>
      </c>
      <c r="C51" s="80" t="s">
        <v>132</v>
      </c>
      <c r="D51" s="81" t="n">
        <v>778</v>
      </c>
      <c r="E51" s="82" t="n">
        <v>50</v>
      </c>
      <c r="F51" s="83" t="n">
        <v>1.4</v>
      </c>
      <c r="G51" s="133" t="n">
        <v>84</v>
      </c>
      <c r="H51" s="139" t="n">
        <v>108</v>
      </c>
      <c r="I51" s="86" t="s">
        <v>30</v>
      </c>
      <c r="J51" s="87" t="s">
        <v>49</v>
      </c>
      <c r="K51" s="86" t="n">
        <v>0.15</v>
      </c>
      <c r="L51" s="88" t="n">
        <v>45</v>
      </c>
      <c r="M51" s="89" t="s">
        <v>26</v>
      </c>
      <c r="N51" s="86" t="n">
        <v>11</v>
      </c>
      <c r="O51" s="122" t="n">
        <v>43720</v>
      </c>
      <c r="P51" s="86" t="s">
        <v>32</v>
      </c>
      <c r="Q51" s="91" t="n">
        <v>42583</v>
      </c>
      <c r="R51" s="92" t="n">
        <v>1499</v>
      </c>
      <c r="S51" s="92" t="n">
        <v>1000</v>
      </c>
      <c r="T51" s="93" t="str">
        <f aca="false">HYPERLINK("https://amzn.to/2K88EL7","link*")</f>
        <v>link*</v>
      </c>
      <c r="U51" s="93" t="str">
        <f aca="false">HYPERLINK("https://www.bhphotovideo.com/c/product/1264965-REG/sony_sel50f14z_planar_t_fe_50mm.html/BI/19619/KBID/12129/DFF/d10-v21-t1-x746806/SID/EZ","link*")</f>
        <v>link*</v>
      </c>
      <c r="V51" s="94" t="s">
        <v>33</v>
      </c>
      <c r="W51" s="93" t="str">
        <f aca="false">HYPERLINK("http://rover.ebay.com/rover/1/711-53200-19255-0/1?icep_ff3=9&amp;pub=5575076376&amp;toolid=10001&amp;campid=5338164340&amp;customid=&amp;icep_uq=sony+50+1.4+za&amp;icep_sellerId=&amp;icep_ex_kw=&amp;icep_sortBy=12&amp;icep_catId=3323&amp;icep_minPrice=&amp;icep_maxPrice=&amp;ipn=psmain&amp;icep_vectorid=22"&amp;"9466&amp;kwid=902099&amp;mtid=824&amp;kw=lg","link*")</f>
        <v>link*</v>
      </c>
    </row>
    <row r="52" customFormat="false" ht="15.75" hidden="false" customHeight="false" outlineLevel="0" collapsed="false">
      <c r="A52" s="454" t="b">
        <f aca="false">FALSE()</f>
        <v>0</v>
      </c>
      <c r="B52" s="455" t="b">
        <f aca="false">FALSE()</f>
        <v>0</v>
      </c>
      <c r="C52" s="80" t="s">
        <v>133</v>
      </c>
      <c r="D52" s="81" t="n">
        <v>910</v>
      </c>
      <c r="E52" s="82" t="n">
        <v>50</v>
      </c>
      <c r="F52" s="83" t="n">
        <v>1.4</v>
      </c>
      <c r="G52" s="133" t="n">
        <v>85</v>
      </c>
      <c r="H52" s="139" t="n">
        <v>125.9</v>
      </c>
      <c r="I52" s="86" t="s">
        <v>30</v>
      </c>
      <c r="J52" s="87" t="s">
        <v>57</v>
      </c>
      <c r="K52" s="86" t="n">
        <v>0.18</v>
      </c>
      <c r="L52" s="88" t="n">
        <v>40</v>
      </c>
      <c r="M52" s="89" t="s">
        <v>26</v>
      </c>
      <c r="N52" s="86" t="n">
        <v>9</v>
      </c>
      <c r="O52" s="122" t="n">
        <v>43690</v>
      </c>
      <c r="P52" s="86" t="s">
        <v>43</v>
      </c>
      <c r="Q52" s="91" t="n">
        <v>43221</v>
      </c>
      <c r="R52" s="92" t="n">
        <v>949</v>
      </c>
      <c r="S52" s="92" t="n">
        <v>650</v>
      </c>
      <c r="T52" s="93" t="str">
        <f aca="false">HYPERLINK("https://amzn.to/2K4JmyT","link*")</f>
        <v>link*</v>
      </c>
      <c r="U52" s="93" t="str">
        <f aca="false">HYPERLINK("https://www.bhphotovideo.com/c/product/1393493-REG/sigma_50mm_f_1_4_dg_hsm.html/BI/19619/KBID/12129/kw/SI5014SO/DFF/d10-v2-t1-xSI5014SO","link*")</f>
        <v>link*</v>
      </c>
      <c r="V52" s="93" t="str">
        <f aca="false">HYPERLINK("https://amzn.to/2Wpdoz5","link*")</f>
        <v>link*</v>
      </c>
      <c r="W52" s="93" t="str">
        <f aca="false">HYPERLINK("http://rover.ebay.com/rover/1/711-53200-19255-0/1?icep_ff3=9&amp;pub=5575076376&amp;toolid=10001&amp;campid=5338164340&amp;customid=&amp;icep_uq=sigma+sony+art+50+1.4&amp;icep_sellerId=&amp;icep_ex_kw=&amp;icep_sortBy=12&amp;icep_catId=3323&amp;icep_minPrice=&amp;icep_maxPrice=&amp;ipn=psmain&amp;icep_vect"&amp;"orid=229466&amp;kwid=902099&amp;mtid=824&amp;kw=lg","link*")</f>
        <v>link*</v>
      </c>
      <c r="X52" s="69" t="s">
        <v>260</v>
      </c>
    </row>
    <row r="53" customFormat="false" ht="15.75" hidden="false" customHeight="false" outlineLevel="0" collapsed="false">
      <c r="A53" s="454" t="b">
        <f aca="false">FALSE()</f>
        <v>0</v>
      </c>
      <c r="B53" s="455" t="b">
        <f aca="false">FALSE()</f>
        <v>0</v>
      </c>
      <c r="C53" s="80" t="s">
        <v>134</v>
      </c>
      <c r="D53" s="81" t="n">
        <v>585</v>
      </c>
      <c r="E53" s="82" t="n">
        <v>50</v>
      </c>
      <c r="F53" s="83" t="n">
        <v>1.4</v>
      </c>
      <c r="G53" s="133" t="n">
        <v>74</v>
      </c>
      <c r="H53" s="139" t="n">
        <v>98</v>
      </c>
      <c r="I53" s="86" t="s">
        <v>30</v>
      </c>
      <c r="J53" s="87" t="s">
        <v>54</v>
      </c>
      <c r="K53" s="86" t="n">
        <v>0.15</v>
      </c>
      <c r="L53" s="88" t="n">
        <v>45</v>
      </c>
      <c r="M53" s="89" t="s">
        <v>26</v>
      </c>
      <c r="N53" s="86" t="n">
        <v>9</v>
      </c>
      <c r="O53" s="122" t="n">
        <v>43686</v>
      </c>
      <c r="P53" s="86" t="s">
        <v>47</v>
      </c>
      <c r="Q53" s="91" t="n">
        <v>42583</v>
      </c>
      <c r="R53" s="92" t="n">
        <v>699</v>
      </c>
      <c r="S53" s="92" t="n">
        <v>365</v>
      </c>
      <c r="T53" s="93" t="str">
        <f aca="false">HYPERLINK("https://amzn.to/2SY1Pyr","link*")</f>
        <v>link*</v>
      </c>
      <c r="U53" s="93" t="str">
        <f aca="false">HYPERLINK("https://www.bhphotovideo.com/c/product/1352862-REG/samyang_syio50af_e_50mm_f_1_4_auto_focus.html/BI/19619/KBID/12129/DFF/d10-v21-t1-x837927/SID/EZ","link*")</f>
        <v>link*</v>
      </c>
      <c r="V53" s="94" t="s">
        <v>33</v>
      </c>
      <c r="W53" s="93" t="str">
        <f aca="false">HYPERLINK("http://rover.ebay.com/rover/1/711-53200-19255-0/1?icep_ff3=9&amp;pub=5575076376&amp;toolid=10001&amp;campid=5338164340&amp;customid=&amp;icep_uq=samyang+50+1.4+sony+af&amp;icep_sellerId=&amp;icep_ex_kw=&amp;icep_sortBy=12&amp;icep_catId=3323&amp;icep_minPrice=&amp;icep_maxPrice=&amp;ipn=psmain&amp;icep_vec"&amp;"torid=229466&amp;kwid=902099&amp;mtid=824&amp;kw=lg","link*")</f>
        <v>link*</v>
      </c>
    </row>
    <row r="54" customFormat="false" ht="15.75" hidden="false" customHeight="false" outlineLevel="0" collapsed="false">
      <c r="A54" s="454" t="b">
        <f aca="false">FALSE()</f>
        <v>0</v>
      </c>
      <c r="B54" s="455" t="b">
        <f aca="false">FALSE()</f>
        <v>0</v>
      </c>
      <c r="C54" s="128" t="str">
        <f aca="false">HYPERLINK("https://phillipreeve.net/blog/review-sony-fe-1-850/","Sony 50mm F1.8")</f>
        <v>Sony 50mm F1.8</v>
      </c>
      <c r="D54" s="81" t="n">
        <v>186</v>
      </c>
      <c r="E54" s="82" t="n">
        <v>50</v>
      </c>
      <c r="F54" s="83" t="n">
        <v>1.8</v>
      </c>
      <c r="G54" s="133" t="n">
        <v>69</v>
      </c>
      <c r="H54" s="139" t="n">
        <v>60</v>
      </c>
      <c r="I54" s="86" t="s">
        <v>30</v>
      </c>
      <c r="J54" s="87" t="s">
        <v>80</v>
      </c>
      <c r="K54" s="86" t="n">
        <v>0.14</v>
      </c>
      <c r="L54" s="88" t="n">
        <v>45</v>
      </c>
      <c r="M54" s="89" t="s">
        <v>26</v>
      </c>
      <c r="N54" s="86" t="n">
        <v>7</v>
      </c>
      <c r="O54" s="122" t="n">
        <v>43591</v>
      </c>
      <c r="P54" s="86" t="s">
        <v>32</v>
      </c>
      <c r="Q54" s="91" t="n">
        <v>42430</v>
      </c>
      <c r="R54" s="145" t="n">
        <v>249</v>
      </c>
      <c r="S54" s="145" t="n">
        <v>165</v>
      </c>
      <c r="T54" s="93" t="str">
        <f aca="false">HYPERLINK("http://amzn.to/2v2F5Se","link*")</f>
        <v>link*</v>
      </c>
      <c r="U54" s="93" t="str">
        <f aca="false">HYPERLINK("https://www.bhphotovideo.com/c/product/1242613-REG/sony_sel50f18f_fe_50mm_f_1_8_lens.html/BI/19619/KBID/12129/kw/SO5018F/DFF/d10-v2-t1-xSO5018F","link*")</f>
        <v>link*</v>
      </c>
      <c r="V54" s="93" t="str">
        <f aca="false">HYPERLINK("http://amzn.to/2wyHB25","link*")</f>
        <v>link*</v>
      </c>
      <c r="W54" s="93" t="str">
        <f aca="false">HYPERLINK("http://rover.ebay.com/rover/1/711-53200-19255-0/1?icep_ff3=10&amp;pub=5575076376&amp;toolid=10001&amp;campid=5338164340&amp;customid=&amp;icep_uq=sony+50+1.8+fe+-oss&amp;icep_sellerId=&amp;icep_ex_kw=&amp;icep_sortBy=12&amp;icep_catId=&amp;icep_minPrice=&amp;icep_maxPrice=&amp;ipn=psmain&amp;icep_vectorid="&amp;"229466&amp;kwid=902099&amp;mtid=824&amp;kw=lg","link*")</f>
        <v>link*</v>
      </c>
    </row>
    <row r="55" customFormat="false" ht="15.75" hidden="false" customHeight="false" outlineLevel="0" collapsed="false">
      <c r="A55" s="454" t="b">
        <f aca="false">FALSE()</f>
        <v>0</v>
      </c>
      <c r="B55" s="455" t="b">
        <f aca="false">TRUE()</f>
        <v>1</v>
      </c>
      <c r="C55" s="80" t="s">
        <v>284</v>
      </c>
      <c r="D55" s="81" t="n">
        <v>364</v>
      </c>
      <c r="E55" s="82" t="n">
        <v>50</v>
      </c>
      <c r="F55" s="83" t="n">
        <v>2</v>
      </c>
      <c r="G55" s="133" t="n">
        <v>63</v>
      </c>
      <c r="H55" s="139" t="n">
        <v>61</v>
      </c>
      <c r="I55" s="86" t="s">
        <v>24</v>
      </c>
      <c r="J55" s="87" t="s">
        <v>80</v>
      </c>
      <c r="K55" s="86"/>
      <c r="L55" s="88" t="n">
        <v>45</v>
      </c>
      <c r="M55" s="89" t="s">
        <v>26</v>
      </c>
      <c r="N55" s="86" t="n">
        <v>12</v>
      </c>
      <c r="O55" s="122" t="n">
        <v>43687</v>
      </c>
      <c r="P55" s="86" t="s">
        <v>28</v>
      </c>
      <c r="Q55" s="91" t="n">
        <v>43831</v>
      </c>
      <c r="R55" s="92"/>
      <c r="S55" s="92"/>
      <c r="T55" s="94"/>
      <c r="U55" s="94"/>
      <c r="V55" s="94"/>
      <c r="W55" s="94"/>
      <c r="X55" s="69"/>
    </row>
    <row r="56" customFormat="false" ht="15.75" hidden="false" customHeight="false" outlineLevel="0" collapsed="false">
      <c r="A56" s="454" t="b">
        <f aca="false">TRUE()</f>
        <v>1</v>
      </c>
      <c r="B56" s="455" t="b">
        <f aca="false">FALSE()</f>
        <v>0</v>
      </c>
      <c r="C56" s="128" t="str">
        <f aca="false">HYPERLINK("https://phillipreeve.net/blog/review-zeiss-loxia-planar-250-t/","Zeiss Loxia 50mm F2")</f>
        <v>Zeiss Loxia 50mm F2</v>
      </c>
      <c r="D56" s="81" t="n">
        <v>320</v>
      </c>
      <c r="E56" s="82" t="n">
        <v>50</v>
      </c>
      <c r="F56" s="83" t="n">
        <v>2</v>
      </c>
      <c r="G56" s="133" t="n">
        <v>62</v>
      </c>
      <c r="H56" s="139" t="n">
        <v>60</v>
      </c>
      <c r="I56" s="86" t="s">
        <v>24</v>
      </c>
      <c r="J56" s="87" t="s">
        <v>73</v>
      </c>
      <c r="K56" s="86" t="n">
        <v>0.15</v>
      </c>
      <c r="L56" s="88" t="n">
        <v>45</v>
      </c>
      <c r="M56" s="89" t="s">
        <v>26</v>
      </c>
      <c r="N56" s="86" t="n">
        <v>10</v>
      </c>
      <c r="O56" s="122" t="n">
        <v>43561</v>
      </c>
      <c r="P56" s="86" t="s">
        <v>59</v>
      </c>
      <c r="Q56" s="91" t="n">
        <v>41913</v>
      </c>
      <c r="R56" s="92" t="n">
        <v>949</v>
      </c>
      <c r="S56" s="92" t="n">
        <v>500</v>
      </c>
      <c r="T56" s="93" t="str">
        <f aca="false">HYPERLINK("http://amzn.to/2faVsIu","link*")</f>
        <v>link*</v>
      </c>
      <c r="U56" s="93" t="str">
        <f aca="false">HYPERLINK("https://www.bhphotovideo.com/c/product/1080387-REG/zeiss_2103_748_loxia_50mm_f_2_planar.html/BI/19619/KBID/12129/kw/ZE502LFE/DFF/d10-v2-t1-xZE502LFE","link*")</f>
        <v>link*</v>
      </c>
      <c r="V56" s="93" t="str">
        <f aca="false">HYPERLINK("http://amzn.to/2wyJAU4","link*")</f>
        <v>link*</v>
      </c>
      <c r="W56" s="93" t="str">
        <f aca="false">HYPERLINK("http://rover.ebay.com/rover/1/711-53200-19255-0/1?icep_ff3=9&amp;pub=5575076376&amp;toolid=10001&amp;campid=5338164340&amp;customid=&amp;icep_uq=loxia++50+sony&amp;icep_sellerId=&amp;icep_ex_kw=&amp;icep_sortBy=12&amp;icep_catId=3323&amp;icep_minPrice=&amp;icep_maxPrice=&amp;ipn=psmain&amp;icep_vectorid=22"&amp;"9466&amp;kwid=902099&amp;mtid=824&amp;kw=lg","link*")</f>
        <v>link*</v>
      </c>
      <c r="X56" s="69" t="s">
        <v>283</v>
      </c>
    </row>
    <row r="57" customFormat="false" ht="15.75" hidden="false" customHeight="false" outlineLevel="0" collapsed="false">
      <c r="A57" s="454" t="b">
        <f aca="false">FALSE()</f>
        <v>0</v>
      </c>
      <c r="B57" s="455" t="b">
        <f aca="false">FALSE()</f>
        <v>0</v>
      </c>
      <c r="C57" s="24" t="str">
        <f aca="false">HYPERLINK("https://phillipreeve.net/blog/rolling-review-sony-fe-2-850-macro/","Sony 50mm F/2.8 Macro")</f>
        <v>Sony 50mm F/2.8 Macro</v>
      </c>
      <c r="D57" s="25" t="n">
        <v>236</v>
      </c>
      <c r="E57" s="26" t="n">
        <v>50</v>
      </c>
      <c r="F57" s="27" t="n">
        <v>2.8</v>
      </c>
      <c r="G57" s="130" t="n">
        <v>72</v>
      </c>
      <c r="H57" s="175" t="n">
        <v>71</v>
      </c>
      <c r="I57" s="32" t="s">
        <v>30</v>
      </c>
      <c r="J57" s="31" t="s">
        <v>78</v>
      </c>
      <c r="K57" s="236" t="n">
        <v>1</v>
      </c>
      <c r="L57" s="33" t="n">
        <v>16</v>
      </c>
      <c r="M57" s="30" t="s">
        <v>26</v>
      </c>
      <c r="N57" s="32" t="n">
        <v>7</v>
      </c>
      <c r="O57" s="98" t="n">
        <v>43654</v>
      </c>
      <c r="P57" s="32" t="s">
        <v>32</v>
      </c>
      <c r="Q57" s="35" t="n">
        <v>42614</v>
      </c>
      <c r="R57" s="237" t="n">
        <v>499</v>
      </c>
      <c r="S57" s="237" t="n">
        <v>350</v>
      </c>
      <c r="T57" s="37" t="str">
        <f aca="false">HYPERLINK("http://amzn.to/2v2g0qz","link*")</f>
        <v>link*</v>
      </c>
      <c r="U57" s="37" t="str">
        <f aca="false">HYPERLINK("https://www.bhphotovideo.com/c/product/1277527-REG/sony_sel50m28_fe_50mm_f_2_8_macro.html/BI/19619/KBID/12129/kw/SO5028FF/DFF/d10-v2-t1-xSO5028FF","link*")</f>
        <v>link*</v>
      </c>
      <c r="V57" s="37" t="str">
        <f aca="false">HYPERLINK("http://amzn.to/2vbknRN","link*")</f>
        <v>link*</v>
      </c>
      <c r="W57" s="37" t="str">
        <f aca="false">HYPERLINK("http://rover.ebay.com/rover/1/711-53200-19255-0/1?icep_ff3=10&amp;pub=5575076376&amp;toolid=10001&amp;campid=5338164340&amp;customid=&amp;icep_uq=sony+50+macro+fe&amp;icep_sellerId=&amp;icep_ex_kw=&amp;icep_sortBy=12&amp;icep_catId=&amp;icep_minPrice=&amp;icep_maxPrice=&amp;ipn=psmain&amp;icep_vectorid=229"&amp;"466&amp;kwid=902099&amp;mtid=824&amp;kw=lg","link*")</f>
        <v>link*</v>
      </c>
      <c r="X57" s="38"/>
    </row>
    <row r="58" customFormat="false" ht="15.75" hidden="false" customHeight="false" outlineLevel="0" collapsed="false">
      <c r="A58" s="454" t="b">
        <f aca="false">FALSE()</f>
        <v>0</v>
      </c>
      <c r="B58" s="455" t="b">
        <f aca="false">FALSE()</f>
        <v>0</v>
      </c>
      <c r="C58" s="99" t="str">
        <f aca="false">HYPERLINK("https://phillipreeve.net/blog/sony-fe-1-855-za-sonnar-t-review/","Sony ZA 55mm F1.8 Sonnar")</f>
        <v>Sony ZA 55mm F1.8 Sonnar</v>
      </c>
      <c r="D58" s="100" t="n">
        <v>281</v>
      </c>
      <c r="E58" s="101" t="n">
        <v>55</v>
      </c>
      <c r="F58" s="102" t="n">
        <v>1.8</v>
      </c>
      <c r="G58" s="130" t="n">
        <v>64</v>
      </c>
      <c r="H58" s="175" t="n">
        <v>71</v>
      </c>
      <c r="I58" s="107" t="s">
        <v>30</v>
      </c>
      <c r="J58" s="106" t="s">
        <v>80</v>
      </c>
      <c r="K58" s="107" t="n">
        <v>0.14</v>
      </c>
      <c r="L58" s="108" t="n">
        <v>50</v>
      </c>
      <c r="M58" s="105" t="s">
        <v>26</v>
      </c>
      <c r="N58" s="107" t="n">
        <v>9</v>
      </c>
      <c r="O58" s="238" t="n">
        <v>43592</v>
      </c>
      <c r="P58" s="107" t="s">
        <v>32</v>
      </c>
      <c r="Q58" s="110" t="n">
        <v>41548</v>
      </c>
      <c r="R58" s="111" t="n">
        <v>999</v>
      </c>
      <c r="S58" s="111" t="n">
        <v>625</v>
      </c>
      <c r="T58" s="112" t="str">
        <f aca="false">HYPERLINK("https://amzn.to/2ywdgEk","link*")</f>
        <v>link*</v>
      </c>
      <c r="U58" s="112" t="str">
        <f aca="false">HYPERLINK("https://www.bhphotovideo.com/c/product/1008124-REG/sony_sel55f18z_sonnar_t_fe_55mm.html/BI/19619/KBID/12129/DFF/d10-v21-t1-x466841/SID/EZ","link*")</f>
        <v>link*</v>
      </c>
      <c r="V58" s="239" t="s">
        <v>33</v>
      </c>
      <c r="W58" s="112" t="str">
        <f aca="false">HYPERLINK("http://rover.ebay.com/rover/1/711-53200-19255-0/1?icep_ff3=9&amp;pub=5575076376&amp;toolid=10001&amp;campid=5338164340&amp;customid=&amp;icep_uq=sony+55+1.8&amp;icep_sellerId=&amp;icep_ex_kw=&amp;icep_sortBy=12&amp;icep_catId=3323&amp;icep_minPrice=&amp;icep_maxPrice=&amp;ipn=psmain&amp;icep_vectorid=22946"&amp;"6&amp;kwid=902099&amp;mtid=824&amp;kw=lg","link*")</f>
        <v>link*</v>
      </c>
      <c r="X58" s="38"/>
    </row>
    <row r="59" customFormat="false" ht="15.75" hidden="false" customHeight="false" outlineLevel="0" collapsed="false">
      <c r="A59" s="454" t="b">
        <f aca="false">FALSE()</f>
        <v>0</v>
      </c>
      <c r="B59" s="455" t="b">
        <f aca="false">FALSE()</f>
        <v>0</v>
      </c>
      <c r="C59" s="99" t="str">
        <f aca="false">HYPERLINK("https://phillipreeve.net/blog/voigtlander-65-f2-apo-macro-review/","Voigtlander Macro 65mm F2 Apo Lanthar")</f>
        <v>Voigtlander Macro 65mm F2 Apo Lanthar</v>
      </c>
      <c r="D59" s="100" t="n">
        <v>635</v>
      </c>
      <c r="E59" s="101" t="n">
        <v>65</v>
      </c>
      <c r="F59" s="102" t="n">
        <v>2</v>
      </c>
      <c r="G59" s="130" t="n">
        <v>78</v>
      </c>
      <c r="H59" s="175" t="n">
        <v>91</v>
      </c>
      <c r="I59" s="107" t="s">
        <v>24</v>
      </c>
      <c r="J59" s="106" t="s">
        <v>54</v>
      </c>
      <c r="K59" s="240" t="n">
        <v>0.5</v>
      </c>
      <c r="L59" s="108" t="n">
        <v>31</v>
      </c>
      <c r="M59" s="105" t="s">
        <v>26</v>
      </c>
      <c r="N59" s="107" t="n">
        <v>10</v>
      </c>
      <c r="O59" s="238" t="n">
        <v>43687</v>
      </c>
      <c r="P59" s="107" t="s">
        <v>28</v>
      </c>
      <c r="Q59" s="241" t="n">
        <v>42917</v>
      </c>
      <c r="R59" s="111" t="n">
        <v>999</v>
      </c>
      <c r="S59" s="111" t="n">
        <v>770</v>
      </c>
      <c r="T59" s="112" t="str">
        <f aca="false">HYPERLINK("https://amzn.to/2LU48SI","link*")</f>
        <v>link*</v>
      </c>
      <c r="U59" s="112" t="str">
        <f aca="false">HYPERLINK("https://www.bhphotovideo.com/c/product/1350400-REG/voigtlander_macro_apo_lanthar_65mm_f2.html/BI/19619/KBID/12129/DFF/d10-v21-t1-x835677/SID/EZ","link*")</f>
        <v>link*</v>
      </c>
      <c r="V59" s="239" t="s">
        <v>33</v>
      </c>
      <c r="W59" s="112" t="str">
        <f aca="false">HYPERLINK("http://rover.ebay.com/rover/1/711-53200-19255-0/1?icep_ff3=9&amp;pub=5575076376&amp;toolid=10001&amp;campid=5338164340&amp;customid=&amp;icep_uq=voigtlander+65+apo+sony&amp;icep_sellerId=&amp;icep_ex_kw=&amp;icep_sortBy=12&amp;icep_catId=3323&amp;icep_minPrice=&amp;icep_maxPrice=&amp;ipn=psmain&amp;icep_ve"&amp;"ctorid=229466&amp;kwid=902099&amp;mtid=824&amp;kw=lg","link*")</f>
        <v>link*</v>
      </c>
      <c r="X59" s="38"/>
    </row>
    <row r="60" customFormat="false" ht="15.75" hidden="false" customHeight="false" outlineLevel="0" collapsed="false">
      <c r="A60" s="454" t="b">
        <f aca="false">FALSE()</f>
        <v>0</v>
      </c>
      <c r="B60" s="455" t="b">
        <f aca="false">FALSE()</f>
        <v>0</v>
      </c>
      <c r="C60" s="39" t="s">
        <v>137</v>
      </c>
      <c r="D60" s="40" t="n">
        <v>562</v>
      </c>
      <c r="E60" s="41" t="n">
        <v>70</v>
      </c>
      <c r="F60" s="42" t="n">
        <v>2.8</v>
      </c>
      <c r="G60" s="133" t="n">
        <v>71</v>
      </c>
      <c r="H60" s="139" t="n">
        <v>132</v>
      </c>
      <c r="I60" s="47" t="s">
        <v>30</v>
      </c>
      <c r="J60" s="46" t="s">
        <v>80</v>
      </c>
      <c r="K60" s="243" t="n">
        <v>1</v>
      </c>
      <c r="L60" s="48" t="n">
        <v>26</v>
      </c>
      <c r="M60" s="45" t="s">
        <v>26</v>
      </c>
      <c r="N60" s="47" t="n">
        <v>9</v>
      </c>
      <c r="O60" s="79" t="n">
        <v>43751</v>
      </c>
      <c r="P60" s="47" t="s">
        <v>43</v>
      </c>
      <c r="Q60" s="50" t="n">
        <v>43221</v>
      </c>
      <c r="R60" s="244" t="n">
        <v>569</v>
      </c>
      <c r="S60" s="244" t="n">
        <v>360</v>
      </c>
      <c r="T60" s="52" t="str">
        <f aca="false">HYPERLINK("https://amzn.to/2YGO9te","link*")</f>
        <v>link*</v>
      </c>
      <c r="U60" s="52" t="str">
        <f aca="false">HYPERLINK("https://www.bhphotovideo.com/c/product/1393483-REG/sigma_70mm_f_2_8_dg_macro.html/BI/19619/KBID/12129/DFF/d10-v21-t1-x895111/SID/EZ","link*")</f>
        <v>link*</v>
      </c>
      <c r="V60" s="140" t="s">
        <v>33</v>
      </c>
      <c r="W60" s="52" t="str">
        <f aca="false">HYPERLINK("http://rover.ebay.com/rover/1/711-53200-19255-0/1?icep_ff3=9&amp;pub=5575076376&amp;toolid=10001&amp;campid=5338164340&amp;customid=&amp;icep_uq=sigma+70+2.8+macro+sony&amp;icep_sellerId=&amp;icep_ex_kw=&amp;icep_sortBy=12&amp;icep_catId=3323&amp;icep_minPrice=&amp;icep_maxPrice=&amp;ipn=psmain&amp;icep_ve"&amp;"ctorid=229466&amp;kwid=902099&amp;mtid=824&amp;kw=lg","link*")</f>
        <v>link*</v>
      </c>
      <c r="X60" s="69" t="s">
        <v>260</v>
      </c>
    </row>
    <row r="61" customFormat="false" ht="15.75" hidden="false" customHeight="false" outlineLevel="0" collapsed="false">
      <c r="A61" s="454" t="b">
        <f aca="false">FALSE()</f>
        <v>0</v>
      </c>
      <c r="B61" s="455" t="b">
        <f aca="false">FALSE()</f>
        <v>0</v>
      </c>
      <c r="C61" s="80" t="s">
        <v>266</v>
      </c>
      <c r="D61" s="81" t="n">
        <v>1480</v>
      </c>
      <c r="E61" s="82" t="n">
        <v>70</v>
      </c>
      <c r="F61" s="83" t="n">
        <v>2.8</v>
      </c>
      <c r="G61" s="133" t="n">
        <v>88</v>
      </c>
      <c r="H61" s="139" t="n">
        <v>200</v>
      </c>
      <c r="I61" s="86" t="s">
        <v>30</v>
      </c>
      <c r="J61" s="87" t="s">
        <v>57</v>
      </c>
      <c r="K61" s="389" t="n">
        <v>0.25</v>
      </c>
      <c r="L61" s="88" t="n">
        <v>96</v>
      </c>
      <c r="M61" s="174" t="s">
        <v>50</v>
      </c>
      <c r="N61" s="86" t="n">
        <v>11</v>
      </c>
      <c r="O61" s="90" t="s">
        <v>139</v>
      </c>
      <c r="P61" s="86" t="s">
        <v>32</v>
      </c>
      <c r="Q61" s="91" t="n">
        <v>42401</v>
      </c>
      <c r="R61" s="92" t="n">
        <v>2599</v>
      </c>
      <c r="S61" s="92" t="n">
        <v>2150</v>
      </c>
      <c r="T61" s="93" t="str">
        <f aca="false">HYPERLINK("https://amzn.to/2KbaJGn","link*")</f>
        <v>link*</v>
      </c>
      <c r="U61" s="93" t="str">
        <f aca="false">HYPERLINK("https://www.bhphotovideo.com/c/product/1222776-REG/sony_sel70200gm_fe_70_200mm_f_2_8_gm.html/BI/19619/KBID/12129/DFF/d10-v21-t1-x746807/SID/EZ","link*")</f>
        <v>link*</v>
      </c>
      <c r="V61" s="94" t="s">
        <v>33</v>
      </c>
      <c r="W61" s="93" t="str">
        <f aca="false">HYPERLINK("http://rover.ebay.com/rover/1/711-53200-19255-0/1?icep_ff3=9&amp;pub=5575076376&amp;toolid=10001&amp;campid=5338164340&amp;customid=&amp;icep_uq=sony+gm+70-200&amp;icep_sellerId=&amp;icep_ex_kw=&amp;icep_sortBy=12&amp;icep_catId=3323&amp;icep_minPrice=&amp;icep_maxPrice=&amp;ipn=psmain&amp;icep_vectorid=22"&amp;"9466&amp;kwid=902099&amp;mtid=824&amp;kw=lg","link*")</f>
        <v>link*</v>
      </c>
    </row>
    <row r="62" customFormat="false" ht="15.75" hidden="false" customHeight="false" outlineLevel="0" collapsed="false">
      <c r="A62" s="454" t="b">
        <f aca="false">FALSE()</f>
        <v>0</v>
      </c>
      <c r="B62" s="455" t="b">
        <f aca="false">FALSE()</f>
        <v>0</v>
      </c>
      <c r="C62" s="80" t="s">
        <v>143</v>
      </c>
      <c r="D62" s="81" t="n">
        <v>854</v>
      </c>
      <c r="E62" s="82" t="n">
        <v>70</v>
      </c>
      <c r="F62" s="83" t="s">
        <v>144</v>
      </c>
      <c r="G62" s="133" t="n">
        <v>84</v>
      </c>
      <c r="H62" s="139" t="n">
        <v>144</v>
      </c>
      <c r="I62" s="86" t="s">
        <v>30</v>
      </c>
      <c r="J62" s="87" t="s">
        <v>49</v>
      </c>
      <c r="K62" s="135" t="n">
        <v>0.31</v>
      </c>
      <c r="L62" s="88" t="n">
        <v>90</v>
      </c>
      <c r="M62" s="174" t="s">
        <v>50</v>
      </c>
      <c r="N62" s="86" t="n">
        <v>9</v>
      </c>
      <c r="O62" s="90" t="s">
        <v>53</v>
      </c>
      <c r="P62" s="86" t="s">
        <v>32</v>
      </c>
      <c r="Q62" s="91" t="n">
        <v>42430</v>
      </c>
      <c r="R62" s="92" t="n">
        <v>1198</v>
      </c>
      <c r="S62" s="92" t="n">
        <v>900</v>
      </c>
      <c r="T62" s="93" t="str">
        <f aca="false">HYPERLINK("https://amzn.to/2SVN1Ao","link*")</f>
        <v>link*</v>
      </c>
      <c r="U62" s="93" t="str">
        <f aca="false">HYPERLINK("https://www.bhphotovideo.com/c/product/1242614-REG/sony_sel70300g_fe_70_300mm_f_4_5_5_6_g.html/BI/19619/KBID/12129/DFF/d10-v21-t1-x722726/SID/EZ","link*")</f>
        <v>link*</v>
      </c>
      <c r="V62" s="94" t="s">
        <v>33</v>
      </c>
      <c r="W62" s="93" t="str">
        <f aca="false">HYPERLINK("http://rover.ebay.com/rover/1/711-53200-19255-0/1?icep_ff3=9&amp;pub=5575076376&amp;toolid=10001&amp;campid=5338164340&amp;customid=&amp;icep_uq=sony+70-300+g+oss+-ssm&amp;icep_sellerId=&amp;icep_ex_kw=&amp;icep_sortBy=12&amp;icep_catId=3323&amp;icep_minPrice=&amp;icep_maxPrice=&amp;ipn=psmain&amp;icep_vec"&amp;"torid=229466&amp;kwid=902099&amp;mtid=824&amp;kw=lg","link*")</f>
        <v>link*</v>
      </c>
    </row>
    <row r="63" customFormat="false" ht="15.75" hidden="false" customHeight="false" outlineLevel="0" collapsed="false">
      <c r="A63" s="454" t="b">
        <f aca="false">FALSE()</f>
        <v>0</v>
      </c>
      <c r="B63" s="455" t="b">
        <f aca="false">FALSE()</f>
        <v>0</v>
      </c>
      <c r="C63" s="24" t="str">
        <f aca="false">HYPERLINK("https://phillipreeve.net/blog/review-sony-fe-470-200-g-oss/https://phillipreeve.net/blog/review-sony-fe-470-200-g-oss/","Sony G 4/70-200 OSS")</f>
        <v>Sony G 4/70-200 OSS</v>
      </c>
      <c r="D63" s="25" t="n">
        <v>840</v>
      </c>
      <c r="E63" s="26" t="n">
        <v>70</v>
      </c>
      <c r="F63" s="27" t="n">
        <v>4</v>
      </c>
      <c r="G63" s="130" t="n">
        <v>80</v>
      </c>
      <c r="H63" s="175" t="n">
        <v>175</v>
      </c>
      <c r="I63" s="32" t="s">
        <v>30</v>
      </c>
      <c r="J63" s="31" t="s">
        <v>49</v>
      </c>
      <c r="K63" s="32" t="n">
        <v>0.18</v>
      </c>
      <c r="L63" s="33" t="n">
        <v>100</v>
      </c>
      <c r="M63" s="176" t="s">
        <v>50</v>
      </c>
      <c r="N63" s="32" t="n">
        <v>9</v>
      </c>
      <c r="O63" s="255" t="s">
        <v>124</v>
      </c>
      <c r="P63" s="32" t="s">
        <v>32</v>
      </c>
      <c r="Q63" s="35" t="n">
        <v>41548</v>
      </c>
      <c r="R63" s="36" t="n">
        <v>1498</v>
      </c>
      <c r="S63" s="36" t="n">
        <v>980</v>
      </c>
      <c r="T63" s="37" t="str">
        <f aca="false">HYPERLINK("http://amzn.to/2fbeX3x","link*")</f>
        <v>link*</v>
      </c>
      <c r="U63" s="37" t="str">
        <f aca="false">HYPERLINK("https://www.bhphotovideo.com/c/product/1380865-REG/sony_fe_70_200mm_f_4_g.html/BI/19619/KBID/12129/kw/SO702004F/DFF/d10-v2-t1-xSO702004F","link*")</f>
        <v>link*</v>
      </c>
      <c r="V63" s="37" t="str">
        <f aca="false">HYPERLINK("http://amzn.to/2vbFQKj","link*")</f>
        <v>link*</v>
      </c>
      <c r="W63" s="37" t="str">
        <f aca="false">HYPERLINK("http://rover.ebay.com/rover/1/711-53200-19255-0/1?icep_ff3=10&amp;pub=5575076376&amp;toolid=10001&amp;campid=5338164340&amp;customid=&amp;icep_uq=sony+70-200+g+4&amp;icep_sellerId=&amp;icep_ex_kw=&amp;icep_sortBy=12&amp;icep_catId=&amp;icep_minPrice=&amp;icep_maxPrice=&amp;ipn=psmain&amp;icep_vectorid=2294"&amp;"66&amp;kwid=902099&amp;mtid=824&amp;kw=lg","link*")</f>
        <v>link*</v>
      </c>
      <c r="X63" s="38"/>
    </row>
    <row r="64" customFormat="false" ht="15.75" hidden="false" customHeight="false" outlineLevel="0" collapsed="false">
      <c r="A64" s="454" t="b">
        <f aca="false">FALSE()</f>
        <v>0</v>
      </c>
      <c r="B64" s="455" t="b">
        <f aca="false">FALSE()</f>
        <v>0</v>
      </c>
      <c r="C64" s="113" t="str">
        <f aca="false">HYPERLINK("https://phillipreeve.net/blog/review-sony-fe-85mm-1-4-gm/","Sony GM 1.4/85")</f>
        <v>Sony GM 1.4/85</v>
      </c>
      <c r="D64" s="40" t="n">
        <v>854</v>
      </c>
      <c r="E64" s="41" t="n">
        <v>85</v>
      </c>
      <c r="F64" s="42" t="n">
        <v>1.4</v>
      </c>
      <c r="G64" s="133" t="n">
        <v>84</v>
      </c>
      <c r="H64" s="139" t="n">
        <v>108</v>
      </c>
      <c r="I64" s="47" t="s">
        <v>30</v>
      </c>
      <c r="J64" s="46" t="s">
        <v>57</v>
      </c>
      <c r="K64" s="47" t="n">
        <v>0.12</v>
      </c>
      <c r="L64" s="48" t="n">
        <v>80</v>
      </c>
      <c r="M64" s="45" t="s">
        <v>26</v>
      </c>
      <c r="N64" s="47" t="n">
        <v>11</v>
      </c>
      <c r="O64" s="79" t="n">
        <v>43688</v>
      </c>
      <c r="P64" s="47" t="s">
        <v>32</v>
      </c>
      <c r="Q64" s="50" t="n">
        <v>42401</v>
      </c>
      <c r="R64" s="51" t="n">
        <v>1799</v>
      </c>
      <c r="S64" s="51" t="n">
        <v>1150</v>
      </c>
      <c r="T64" s="52" t="str">
        <f aca="false">HYPERLINK("https://amzn.to/2SZeKAh","link*")</f>
        <v>link*</v>
      </c>
      <c r="U64" s="52" t="str">
        <f aca="false">HYPERLINK("https://www.bhphotovideo.com/c/product/1222775-REG/sony_sel85f14gm_fe_85mm_f_1_4_gm.html/BI/19619/KBID/12129/DFF/d10-v21-t1-x707644/SID/EZ","link*")</f>
        <v>link*</v>
      </c>
      <c r="V64" s="140" t="s">
        <v>33</v>
      </c>
      <c r="W64" s="52" t="str">
        <f aca="false">HYPERLINK("http://rover.ebay.com/rover/1/711-53200-19255-0/1?icep_ff3=9&amp;pub=5575076376&amp;toolid=10001&amp;campid=5338164340&amp;customid=&amp;icep_uq=sony+gm+85+1.4&amp;icep_sellerId=&amp;icep_ex_kw=&amp;icep_sortBy=12&amp;icep_catId=3323&amp;icep_minPrice=&amp;icep_maxPrice=&amp;ipn=psmain&amp;icep_vectorid=22"&amp;"9466&amp;kwid=902099&amp;mtid=824&amp;kw=lg","link*")</f>
        <v>link*</v>
      </c>
    </row>
    <row r="65" customFormat="false" ht="15.75" hidden="false" customHeight="false" outlineLevel="0" collapsed="false">
      <c r="A65" s="454" t="b">
        <f aca="false">FALSE()</f>
        <v>0</v>
      </c>
      <c r="B65" s="455" t="b">
        <f aca="false">FALSE()</f>
        <v>0</v>
      </c>
      <c r="C65" s="80" t="s">
        <v>147</v>
      </c>
      <c r="D65" s="81" t="n">
        <v>1245</v>
      </c>
      <c r="E65" s="82" t="n">
        <v>85</v>
      </c>
      <c r="F65" s="83" t="n">
        <v>1.4</v>
      </c>
      <c r="G65" s="133" t="n">
        <v>95</v>
      </c>
      <c r="H65" s="139" t="n">
        <v>152</v>
      </c>
      <c r="I65" s="86" t="s">
        <v>30</v>
      </c>
      <c r="J65" s="257" t="s">
        <v>148</v>
      </c>
      <c r="K65" s="86" t="n">
        <v>0.12</v>
      </c>
      <c r="L65" s="88" t="n">
        <v>85</v>
      </c>
      <c r="M65" s="89" t="s">
        <v>26</v>
      </c>
      <c r="N65" s="86" t="n">
        <v>9</v>
      </c>
      <c r="O65" s="122" t="n">
        <v>43724</v>
      </c>
      <c r="P65" s="86" t="s">
        <v>43</v>
      </c>
      <c r="Q65" s="91" t="n">
        <v>43221</v>
      </c>
      <c r="R65" s="92" t="n">
        <v>1199</v>
      </c>
      <c r="S65" s="92" t="n">
        <v>750</v>
      </c>
      <c r="T65" s="93" t="str">
        <f aca="false">HYPERLINK("https://amzn.to/2MBd68k","link*")</f>
        <v>link*</v>
      </c>
      <c r="U65" s="93" t="str">
        <f aca="false">HYPERLINK("https://www.bhphotovideo.com/c/product/1393494-REG/sigma_85mm_f_1_4_dg_hsm.html/BI/19619/KBID/12129/kw/SI8514SO/DFF/d10-v2-t1-xSI8514SO","link*")</f>
        <v>link*</v>
      </c>
      <c r="V65" s="93" t="str">
        <f aca="false">HYPERLINK("https://amzn.to/2Wto6JH","link*")</f>
        <v>link*</v>
      </c>
      <c r="W65" s="93" t="str">
        <f aca="false">HYPERLINK("http://rover.ebay.com/rover/1/711-53200-19255-0/1?icep_ff3=9&amp;pub=5575076376&amp;toolid=10001&amp;campid=5338164340&amp;customid=&amp;icep_uq=sigma+85+1.4+sony&amp;icep_sellerId=&amp;icep_ex_kw=&amp;icep_sortBy=12&amp;icep_catId=3323&amp;icep_minPrice=&amp;icep_maxPrice=&amp;ipn=psmain&amp;icep_vectorid"&amp;"=229466&amp;kwid=902099&amp;mtid=824&amp;kw=lg","link*")</f>
        <v>link*</v>
      </c>
      <c r="X65" s="69" t="s">
        <v>260</v>
      </c>
    </row>
    <row r="66" customFormat="false" ht="15.75" hidden="false" customHeight="false" outlineLevel="0" collapsed="false">
      <c r="A66" s="454" t="b">
        <f aca="false">FALSE()</f>
        <v>0</v>
      </c>
      <c r="B66" s="455" t="b">
        <f aca="false">FALSE()</f>
        <v>0</v>
      </c>
      <c r="C66" s="80" t="s">
        <v>149</v>
      </c>
      <c r="D66" s="81" t="n">
        <v>568</v>
      </c>
      <c r="E66" s="82" t="n">
        <v>85</v>
      </c>
      <c r="F66" s="83" t="n">
        <v>1.4</v>
      </c>
      <c r="G66" s="133" t="n">
        <v>88</v>
      </c>
      <c r="H66" s="139" t="n">
        <v>100</v>
      </c>
      <c r="I66" s="86" t="s">
        <v>30</v>
      </c>
      <c r="J66" s="87" t="s">
        <v>57</v>
      </c>
      <c r="K66" s="86" t="n">
        <v>0.11</v>
      </c>
      <c r="L66" s="88" t="n">
        <v>90</v>
      </c>
      <c r="M66" s="89" t="s">
        <v>26</v>
      </c>
      <c r="N66" s="86" t="n">
        <v>9</v>
      </c>
      <c r="O66" s="122" t="n">
        <v>43688</v>
      </c>
      <c r="P66" s="86" t="s">
        <v>47</v>
      </c>
      <c r="Q66" s="91" t="n">
        <v>43586</v>
      </c>
      <c r="R66" s="145" t="n">
        <v>699</v>
      </c>
      <c r="S66" s="92" t="s">
        <v>36</v>
      </c>
      <c r="T66" s="93" t="str">
        <f aca="false">HYPERLINK("https://amzn.to/2T0yJ1A","link*")</f>
        <v>link*</v>
      </c>
      <c r="U66" s="93" t="str">
        <f aca="false">HYPERLINK("https://www.bhphotovideo.com/c/product/1470654-REG/samyang_syio85af_e_af_85mm_f_1_4_lens.html/BI/19619/KBID/12129/DFF/d10-v21-t1-x955078/SID/EZ","link*")</f>
        <v>link*</v>
      </c>
      <c r="V66" s="94" t="s">
        <v>33</v>
      </c>
      <c r="W66" s="93" t="str">
        <f aca="false">HYPERLINK("http://rover.ebay.com/rover/1/711-53200-19255-0/1?icep_ff3=9&amp;pub=5575076376&amp;toolid=10001&amp;campid=5338164340&amp;customid=&amp;icep_uq=samyang+85+1.4+sony+af&amp;icep_sellerId=&amp;icep_ex_kw=&amp;icep_sortBy=12&amp;icep_catId=3323&amp;icep_minPrice=&amp;icep_maxPrice=&amp;ipn=psmain&amp;icep_vec"&amp;"torid=229466&amp;kwid=902099&amp;mtid=824&amp;kw=lg","link*")</f>
        <v>link*</v>
      </c>
    </row>
    <row r="67" customFormat="false" ht="15.75" hidden="false" customHeight="false" outlineLevel="0" collapsed="false">
      <c r="A67" s="454" t="b">
        <f aca="false">FALSE()</f>
        <v>0</v>
      </c>
      <c r="B67" s="455" t="b">
        <f aca="false">FALSE()</f>
        <v>0</v>
      </c>
      <c r="C67" s="128" t="str">
        <f aca="false">HYPERLINK("https://phillipreeve.net/blog/review-sony-fe-85-mm-1-8/","Sony FE 85mm f/1.8")</f>
        <v>Sony FE 85mm f/1.8</v>
      </c>
      <c r="D67" s="81" t="n">
        <v>371</v>
      </c>
      <c r="E67" s="82" t="n">
        <v>85</v>
      </c>
      <c r="F67" s="83" t="n">
        <v>1.8</v>
      </c>
      <c r="G67" s="133" t="n">
        <v>77</v>
      </c>
      <c r="H67" s="139" t="n">
        <v>82</v>
      </c>
      <c r="I67" s="86" t="s">
        <v>30</v>
      </c>
      <c r="J67" s="87" t="s">
        <v>54</v>
      </c>
      <c r="K67" s="86" t="n">
        <v>0.13</v>
      </c>
      <c r="L67" s="88" t="n">
        <v>80</v>
      </c>
      <c r="M67" s="89" t="s">
        <v>26</v>
      </c>
      <c r="N67" s="86" t="n">
        <v>9</v>
      </c>
      <c r="O67" s="122" t="n">
        <v>43686</v>
      </c>
      <c r="P67" s="86" t="s">
        <v>32</v>
      </c>
      <c r="Q67" s="91" t="n">
        <v>42767</v>
      </c>
      <c r="R67" s="145" t="n">
        <v>599</v>
      </c>
      <c r="S67" s="145" t="n">
        <v>470</v>
      </c>
      <c r="T67" s="93" t="str">
        <f aca="false">HYPERLINK("https://amzn.to/2YB4RxU","link*")</f>
        <v>link*</v>
      </c>
      <c r="U67" s="93" t="str">
        <f aca="false">HYPERLINK("https://www.bhphotovideo.com/c/product/1140833-REG/zeiss_2103_751_85mm_f_1_8_batis_short.html/BI/19619/KBID/12129/DFF/d10-v21-t1-x627139/SID/EZ","link*")</f>
        <v>link*</v>
      </c>
      <c r="V67" s="94" t="s">
        <v>33</v>
      </c>
      <c r="W67" s="93" t="str">
        <f aca="false">HYPERLINK("http://rover.ebay.com/rover/1/711-53200-19255-0/1?icep_ff3=9&amp;pub=5575076376&amp;toolid=10001&amp;campid=5338164340&amp;customid=&amp;icep_uq=sony+85mm+1.8+fe&amp;icep_sellerId=&amp;icep_ex_kw=&amp;icep_sortBy=12&amp;icep_catId=3323&amp;icep_minPrice=&amp;icep_maxPrice=&amp;ipn=psmain&amp;icep_vectorid="&amp;"229466&amp;kwid=902099&amp;mtid=824&amp;kw=lg","link*")</f>
        <v>link*</v>
      </c>
    </row>
    <row r="68" customFormat="false" ht="15.75" hidden="false" customHeight="false" outlineLevel="0" collapsed="false">
      <c r="A68" s="454" t="b">
        <f aca="false">FALSE()</f>
        <v>0</v>
      </c>
      <c r="B68" s="455" t="b">
        <f aca="false">FALSE()</f>
        <v>0</v>
      </c>
      <c r="C68" s="128" t="str">
        <f aca="false">HYPERLINK("https://phillipreeve.net/blog/zeiss-batis-sonnar-t-85mm-f1-8-a-review/","Zeiss Batis 1.8/85")</f>
        <v>Zeiss Batis 1.8/85</v>
      </c>
      <c r="D68" s="81" t="n">
        <v>475</v>
      </c>
      <c r="E68" s="82" t="n">
        <v>85</v>
      </c>
      <c r="F68" s="83" t="n">
        <v>1.8</v>
      </c>
      <c r="G68" s="133" t="n">
        <v>92</v>
      </c>
      <c r="H68" s="139" t="n">
        <v>81</v>
      </c>
      <c r="I68" s="86" t="s">
        <v>30</v>
      </c>
      <c r="J68" s="87" t="s">
        <v>54</v>
      </c>
      <c r="K68" s="86" t="n">
        <v>0.13</v>
      </c>
      <c r="L68" s="88" t="n">
        <v>80</v>
      </c>
      <c r="M68" s="174" t="s">
        <v>50</v>
      </c>
      <c r="N68" s="86" t="n">
        <v>9</v>
      </c>
      <c r="O68" s="122" t="n">
        <v>43688</v>
      </c>
      <c r="P68" s="86" t="s">
        <v>59</v>
      </c>
      <c r="Q68" s="91" t="n">
        <v>42125</v>
      </c>
      <c r="R68" s="92" t="n">
        <v>1199</v>
      </c>
      <c r="S68" s="92" t="n">
        <v>750</v>
      </c>
      <c r="T68" s="93" t="str">
        <f aca="false">HYPERLINK("https://amzn.to/2T8oWqt","link*")</f>
        <v>link*</v>
      </c>
      <c r="U68" s="93" t="str">
        <f aca="false">HYPERLINK("https://www.bhphotovideo.com/c/product/1140833-REG/zeiss_2103_751_85mm_f_1_8_batis_short.html/BI/19619/KBID/12129/DFF/d10-v21-t1-x627139/SID/EZ","link*")</f>
        <v>link*</v>
      </c>
      <c r="V68" s="94" t="s">
        <v>33</v>
      </c>
      <c r="W68" s="93" t="str">
        <f aca="false">HYPERLINK("http://rover.ebay.com/rover/1/711-53200-19255-0/1?icep_ff3=9&amp;pub=5575076376&amp;toolid=10001&amp;campid=5338164340&amp;customid=&amp;icep_uq=batis+85mm+1.8+sony&amp;icep_sellerId=&amp;icep_ex_kw=&amp;icep_sortBy=12&amp;icep_catId=3323&amp;icep_minPrice=&amp;icep_maxPrice=&amp;ipn=psmain&amp;icep_vector"&amp;"id=229466&amp;kwid=902099&amp;mtid=824&amp;kw=lg","link*")</f>
        <v>link*</v>
      </c>
    </row>
    <row r="69" customFormat="false" ht="15.75" hidden="false" customHeight="false" outlineLevel="0" collapsed="false">
      <c r="A69" s="454" t="b">
        <f aca="false">FALSE()</f>
        <v>0</v>
      </c>
      <c r="B69" s="455" t="b">
        <f aca="false">FALSE()</f>
        <v>0</v>
      </c>
      <c r="C69" s="80" t="s">
        <v>153</v>
      </c>
      <c r="D69" s="81" t="n">
        <v>665</v>
      </c>
      <c r="E69" s="82" t="n">
        <v>85</v>
      </c>
      <c r="F69" s="83" t="n">
        <v>1.8</v>
      </c>
      <c r="G69" s="133" t="n">
        <v>79</v>
      </c>
      <c r="H69" s="139" t="n">
        <v>92</v>
      </c>
      <c r="I69" s="86" t="s">
        <v>24</v>
      </c>
      <c r="J69" s="87" t="s">
        <v>49</v>
      </c>
      <c r="K69" s="86" t="n">
        <v>0.13</v>
      </c>
      <c r="L69" s="88" t="n">
        <v>80</v>
      </c>
      <c r="M69" s="89" t="s">
        <v>26</v>
      </c>
      <c r="N69" s="86" t="n">
        <v>9</v>
      </c>
      <c r="O69" s="122" t="n">
        <v>43656</v>
      </c>
      <c r="P69" s="86" t="s">
        <v>64</v>
      </c>
      <c r="Q69" s="91" t="n">
        <v>43586</v>
      </c>
      <c r="R69" s="92" t="n">
        <v>299</v>
      </c>
      <c r="S69" s="92" t="s">
        <v>36</v>
      </c>
      <c r="T69" s="93" t="str">
        <f aca="false">HYPERLINK("https://amzn.to/2LVVOBV","link*")</f>
        <v>link*</v>
      </c>
      <c r="U69" s="93" t="str">
        <f aca="false">HYPERLINK("https://www.bhphotovideo.com/c/product/1469189-REG/viltrox_pfu_rbmh_85mm_f1_8_e_mount_85mm_f_1_8_for_sony.html/BI/19619/KBID/12129/DFF/d10-v21-t1-x954301/SID/EZ","link*")</f>
        <v>link*</v>
      </c>
      <c r="V69" s="94" t="s">
        <v>33</v>
      </c>
      <c r="W69" s="93" t="str">
        <f aca="false">HYPERLINK("http://rover.ebay.com/rover/1/711-53200-19255-0/1?icep_ff3=9&amp;pub=5575076376&amp;toolid=10001&amp;campid=5338164340&amp;customid=&amp;icep_uq=viltrox+85mm+1.8+sony+-stm&amp;icep_sellerId=&amp;icep_ex_kw=&amp;icep_sortBy=12&amp;icep_catId=3323&amp;icep_minPrice=&amp;icep_maxPrice=&amp;ipn=psmain&amp;icep"&amp;"_vectorid=229466&amp;kwid=902099&amp;mtid=824&amp;kw=lg","link*")</f>
        <v>link*</v>
      </c>
      <c r="X69" s="69" t="s">
        <v>285</v>
      </c>
    </row>
    <row r="70" customFormat="false" ht="15.75" hidden="false" customHeight="false" outlineLevel="0" collapsed="false">
      <c r="A70" s="454" t="b">
        <f aca="false">FALSE()</f>
        <v>0</v>
      </c>
      <c r="B70" s="455" t="b">
        <f aca="false">FALSE()</f>
        <v>0</v>
      </c>
      <c r="C70" s="128" t="str">
        <f aca="false">HYPERLINK("https://phillipreeve.net/blog/review-viltrox-85-mm-f-1-8-stm-af-pfu-rbmh/","Viltrox PFU RBMH 85mm f/1.8 STM")</f>
        <v>Viltrox PFU RBMH 85mm f/1.8 STM</v>
      </c>
      <c r="D70" s="81" t="n">
        <v>636</v>
      </c>
      <c r="E70" s="82" t="n">
        <v>85</v>
      </c>
      <c r="F70" s="83" t="n">
        <v>1.8</v>
      </c>
      <c r="G70" s="133" t="n">
        <v>79</v>
      </c>
      <c r="H70" s="139" t="n">
        <v>92</v>
      </c>
      <c r="I70" s="86" t="s">
        <v>30</v>
      </c>
      <c r="J70" s="87" t="s">
        <v>49</v>
      </c>
      <c r="K70" s="86" t="n">
        <v>0.13</v>
      </c>
      <c r="L70" s="88" t="n">
        <v>80</v>
      </c>
      <c r="M70" s="89" t="s">
        <v>26</v>
      </c>
      <c r="N70" s="86" t="n">
        <v>9</v>
      </c>
      <c r="O70" s="122" t="n">
        <v>43656</v>
      </c>
      <c r="P70" s="86" t="s">
        <v>64</v>
      </c>
      <c r="Q70" s="91" t="n">
        <v>43586</v>
      </c>
      <c r="R70" s="92" t="n">
        <v>379</v>
      </c>
      <c r="S70" s="92" t="s">
        <v>36</v>
      </c>
      <c r="T70" s="93" t="str">
        <f aca="false">HYPERLINK("https://amzn.to/2SZfd5v","link*")</f>
        <v>link*</v>
      </c>
      <c r="U70" s="93" t="str">
        <f aca="false">HYPERLINK("https://www.bhphotovideo.com/c/product/1470585-REG/viltrox_pfu_rbmh_85mm_f1_8_stm_e_mount_85mm_f_1_8_lens_for.html/BI/19619/KBID/12129/DFF/d10-v21-t1-x955239/SID/EZ","link*")</f>
        <v>link*</v>
      </c>
      <c r="V70" s="94" t="s">
        <v>33</v>
      </c>
      <c r="W70" s="93" t="str">
        <f aca="false">HYPERLINK("http://rover.ebay.com/rover/1/711-53200-19255-0/1?icep_ff3=9&amp;pub=5575076376&amp;toolid=10001&amp;campid=5338164340&amp;customid=&amp;icep_uq=viltrox+85mm+1.8+sony+stm&amp;icep_sellerId=&amp;icep_ex_kw=&amp;icep_sortBy=12&amp;icep_catId=3323&amp;icep_minPrice=&amp;icep_maxPrice=&amp;ipn=psmain&amp;icep_"&amp;"vectorid=229466&amp;kwid=902099&amp;mtid=824&amp;kw=lg","link*")</f>
        <v>link*</v>
      </c>
    </row>
    <row r="71" customFormat="false" ht="15.75" hidden="false" customHeight="false" outlineLevel="0" collapsed="false">
      <c r="A71" s="454" t="b">
        <f aca="false">FALSE()</f>
        <v>0</v>
      </c>
      <c r="B71" s="455" t="b">
        <f aca="false">FALSE()</f>
        <v>0</v>
      </c>
      <c r="C71" s="24" t="str">
        <f aca="false">HYPERLINK("https://phillipreeve.net/blog/rolling-review-zeiss-loxia-85mm-2-4/","Zeiss Loxia 2.4/85")</f>
        <v>Zeiss Loxia 2.4/85</v>
      </c>
      <c r="D71" s="25" t="n">
        <v>594</v>
      </c>
      <c r="E71" s="26" t="n">
        <v>85</v>
      </c>
      <c r="F71" s="27" t="n">
        <v>2.4</v>
      </c>
      <c r="G71" s="130" t="n">
        <v>63</v>
      </c>
      <c r="H71" s="175" t="n">
        <v>95</v>
      </c>
      <c r="I71" s="32" t="s">
        <v>24</v>
      </c>
      <c r="J71" s="31" t="s">
        <v>73</v>
      </c>
      <c r="K71" s="32" t="n">
        <v>0.14</v>
      </c>
      <c r="L71" s="33" t="n">
        <v>80</v>
      </c>
      <c r="M71" s="30" t="s">
        <v>26</v>
      </c>
      <c r="N71" s="32" t="n">
        <v>10</v>
      </c>
      <c r="O71" s="98" t="n">
        <v>43653</v>
      </c>
      <c r="P71" s="32" t="s">
        <v>59</v>
      </c>
      <c r="Q71" s="35" t="n">
        <v>42644</v>
      </c>
      <c r="R71" s="36" t="n">
        <v>1399</v>
      </c>
      <c r="S71" s="36" t="n">
        <v>850</v>
      </c>
      <c r="T71" s="37" t="str">
        <f aca="false">HYPERLINK("https://amzn.to/2SY4PLd","link*")</f>
        <v>link*</v>
      </c>
      <c r="U71" s="37" t="str">
        <f aca="false">HYPERLINK("https://www.bhphotovideo.com/c/product/1282150-REG/zeiss_2162_636_loxia_85mm_f_2_4_lens.html/BI/19619/KBID/12129/DFF/d10-v21-t1-x762761/SID/EZ","link*")</f>
        <v>link*</v>
      </c>
      <c r="V71" s="71" t="s">
        <v>33</v>
      </c>
      <c r="W71" s="37" t="str">
        <f aca="false">HYPERLINK("http://rover.ebay.com/rover/1/711-53200-19255-0/1?icep_ff3=9&amp;pub=5575076376&amp;toolid=10001&amp;campid=5338164340&amp;customid=&amp;icep_uq=loxia+85+sony&amp;icep_sellerId=&amp;icep_ex_kw=&amp;icep_sortBy=12&amp;icep_catId=3323&amp;icep_minPrice=&amp;icep_maxPrice=&amp;ipn=psmain&amp;icep_vectorid=229"&amp;"466&amp;kwid=902099&amp;mtid=824&amp;kw=lg","link*")</f>
        <v>link*</v>
      </c>
      <c r="X71" s="38"/>
    </row>
    <row r="72" customFormat="false" ht="15.75" hidden="false" customHeight="false" outlineLevel="0" collapsed="false">
      <c r="A72" s="454" t="b">
        <f aca="false">FALSE()</f>
        <v>0</v>
      </c>
      <c r="B72" s="455" t="b">
        <f aca="false">FALSE()</f>
        <v>0</v>
      </c>
      <c r="C72" s="99" t="str">
        <f aca="false">HYPERLINK("https://phillipreeve.net/blog/review-sony-fe-90mm-f2-8-macro-oss-one-of-sonys-finest/","Sony 2.8/90 G OSS")</f>
        <v>Sony 2.8/90 G OSS</v>
      </c>
      <c r="D72" s="100" t="n">
        <v>602</v>
      </c>
      <c r="E72" s="101" t="n">
        <v>90</v>
      </c>
      <c r="F72" s="102" t="n">
        <v>2.8</v>
      </c>
      <c r="G72" s="130" t="n">
        <v>79</v>
      </c>
      <c r="H72" s="175" t="n">
        <v>131</v>
      </c>
      <c r="I72" s="107" t="s">
        <v>30</v>
      </c>
      <c r="J72" s="106" t="s">
        <v>67</v>
      </c>
      <c r="K72" s="277" t="n">
        <v>1</v>
      </c>
      <c r="L72" s="108" t="n">
        <v>28</v>
      </c>
      <c r="M72" s="278" t="s">
        <v>50</v>
      </c>
      <c r="N72" s="107" t="n">
        <v>9</v>
      </c>
      <c r="O72" s="238" t="n">
        <v>43784</v>
      </c>
      <c r="P72" s="107" t="s">
        <v>32</v>
      </c>
      <c r="Q72" s="110" t="n">
        <v>42064</v>
      </c>
      <c r="R72" s="111" t="n">
        <v>1099</v>
      </c>
      <c r="S72" s="111" t="n">
        <v>830</v>
      </c>
      <c r="T72" s="112" t="str">
        <f aca="false">HYPERLINK("http://amzn.to/2fbeX3x","link*")</f>
        <v>link*</v>
      </c>
      <c r="U72" s="112" t="str">
        <f aca="false">HYPERLINK("https://www.bhphotovideo.com/c/product/1380868-REG/sony_fe_90mm_f_2_8_macro.html/BI/19619/KBID/12129/kw/SO9028F/DFF/d10-v2-t1-xSO9028F","link*")</f>
        <v>link*</v>
      </c>
      <c r="V72" s="112" t="str">
        <f aca="false">HYPERLINK("http://amzn.to/2vvvHcw","link*")</f>
        <v>link*</v>
      </c>
      <c r="W72" s="112" t="str">
        <f aca="false">HYPERLINK("http://rover.ebay.com/rover/1/711-53200-19255-0/1?icep_ff3=10&amp;pub=5575076376&amp;toolid=10001&amp;campid=5338164340&amp;customid=&amp;icep_uq=sony+90+macro+oss&amp;icep_sellerId=&amp;icep_ex_kw=&amp;icep_sortBy=12&amp;icep_catId=&amp;icep_minPrice=&amp;icep_maxPrice=&amp;ipn=psmain&amp;icep_vectorid=22"&amp;"9466&amp;kwid=902099&amp;mtid=824&amp;kw=lg","link*")</f>
        <v>link*</v>
      </c>
      <c r="X72" s="38"/>
    </row>
    <row r="73" customFormat="false" ht="15.75" hidden="false" customHeight="false" outlineLevel="0" collapsed="false">
      <c r="A73" s="454" t="b">
        <f aca="false">FALSE()</f>
        <v>0</v>
      </c>
      <c r="B73" s="455" t="b">
        <f aca="false">FALSE()</f>
        <v>0</v>
      </c>
      <c r="C73" s="113" t="str">
        <f aca="false">HYPERLINK("https://phillipreeve.net/blog/review-sony-fe-100-f-2-8-stf-gm-oss-lens/","Sony GM 2.8/100 STF OSS")</f>
        <v>Sony GM 2.8/100 STF OSS</v>
      </c>
      <c r="D73" s="40" t="n">
        <v>700</v>
      </c>
      <c r="E73" s="41" t="n">
        <v>100</v>
      </c>
      <c r="F73" s="42" t="n">
        <v>2.8</v>
      </c>
      <c r="G73" s="133" t="n">
        <v>85</v>
      </c>
      <c r="H73" s="139" t="n">
        <v>118</v>
      </c>
      <c r="I73" s="47" t="s">
        <v>30</v>
      </c>
      <c r="J73" s="46" t="s">
        <v>49</v>
      </c>
      <c r="K73" s="279" t="n">
        <v>0.25</v>
      </c>
      <c r="L73" s="48" t="n">
        <v>57</v>
      </c>
      <c r="M73" s="114" t="s">
        <v>50</v>
      </c>
      <c r="N73" s="47" t="n">
        <v>11</v>
      </c>
      <c r="O73" s="79" t="n">
        <v>43752</v>
      </c>
      <c r="P73" s="47" t="s">
        <v>32</v>
      </c>
      <c r="Q73" s="50" t="n">
        <v>42767</v>
      </c>
      <c r="R73" s="51" t="n">
        <v>1499</v>
      </c>
      <c r="S73" s="51" t="n">
        <v>1100</v>
      </c>
      <c r="T73" s="52" t="str">
        <f aca="false">HYPERLINK("https://amzn.to/2YD8rn4","link*")</f>
        <v>link*</v>
      </c>
      <c r="U73" s="52" t="str">
        <f aca="false">HYPERLINK("https://www.bhphotovideo.com/c/product/1317561-REG/sony_sel100f28gm_fe_100mm_f_2_8_stf.html/BI/19619/KBID/12129/DFF/d10-v21-t1-x795192/SID/EZ","link*")</f>
        <v>link*</v>
      </c>
      <c r="V73" s="140" t="s">
        <v>33</v>
      </c>
      <c r="W73" s="52" t="str">
        <f aca="false">HYPERLINK("http://rover.ebay.com/rover/1/711-53200-19255-0/1?icep_ff3=9&amp;pub=5575076376&amp;toolid=10001&amp;campid=5338164340&amp;customid=&amp;icep_uq=sony+gm+stf+100&amp;icep_sellerId=&amp;icep_ex_kw=&amp;icep_sortBy=12&amp;icep_catId=3323&amp;icep_minPrice=&amp;icep_maxPrice=&amp;ipn=psmain&amp;icep_vectorid=2"&amp;"29466&amp;kwid=902099&amp;mtid=824&amp;kw=lg","link*")</f>
        <v>link*</v>
      </c>
      <c r="X73" s="69" t="s">
        <v>158</v>
      </c>
    </row>
    <row r="74" customFormat="false" ht="15.75" hidden="false" customHeight="false" outlineLevel="0" collapsed="false">
      <c r="A74" s="454" t="b">
        <f aca="false">FALSE()</f>
        <v>0</v>
      </c>
      <c r="B74" s="455" t="b">
        <f aca="false">FALSE()</f>
        <v>0</v>
      </c>
      <c r="C74" s="128" t="str">
        <f aca="false">HYPERLINK("https://phillipreeve.net/blog/review-tokina-firin-100mm-f2-8-fe-macro/","Tokina Firin 2.8/100 Macro")</f>
        <v>Tokina Firin 2.8/100 Macro</v>
      </c>
      <c r="D74" s="81" t="n">
        <v>570</v>
      </c>
      <c r="E74" s="82" t="n">
        <v>100</v>
      </c>
      <c r="F74" s="83" t="n">
        <v>2.8</v>
      </c>
      <c r="G74" s="133" t="n">
        <v>74</v>
      </c>
      <c r="H74" s="134" t="n">
        <v>123</v>
      </c>
      <c r="I74" s="86" t="s">
        <v>30</v>
      </c>
      <c r="J74" s="87" t="s">
        <v>78</v>
      </c>
      <c r="K74" s="280" t="n">
        <v>1</v>
      </c>
      <c r="L74" s="88" t="n">
        <v>30</v>
      </c>
      <c r="M74" s="89" t="s">
        <v>26</v>
      </c>
      <c r="N74" s="86" t="n">
        <v>9</v>
      </c>
      <c r="O74" s="122" t="n">
        <v>43686</v>
      </c>
      <c r="P74" s="86" t="s">
        <v>68</v>
      </c>
      <c r="Q74" s="91" t="n">
        <v>43617</v>
      </c>
      <c r="R74" s="127" t="n">
        <v>599</v>
      </c>
      <c r="S74" s="127" t="s">
        <v>36</v>
      </c>
      <c r="T74" s="93" t="str">
        <f aca="false">HYPERLINK("http://amzn.to/2fbeX3x","link*")</f>
        <v>link*</v>
      </c>
      <c r="U74" s="93" t="str">
        <f aca="false">HYPERLINK("https://www.bhphotovideo.com/c/product/1473390-REG/tokina_frn_afm100fxse_firin_100mm_f_2_8_fe.html/BI/19619/KBID/12129/kw/TO100AF/DFF/d10-v2-t1-xTO100AF","link*")</f>
        <v>link*</v>
      </c>
      <c r="V74" s="93" t="str">
        <f aca="false">HYPERLINK("https://www.amazon.de/Tokina-FiRIN-Makroobjektiv-Vollformatobjektiv-Mount/dp/B07R1KVZT9/ref=as_li_ss_tl?__mk_de_DE=%C3%85M%C3%85%C5%BD%C3%95%C3%91&amp;crid=27PITEVDHE0QD&amp;keywords=tokina+firin+100mm+f2.8+fe&amp;qid=1559375443&amp;s=ce-de&amp;sprefix=tokina+firin+100,elect"&amp;"ronics,147&amp;sr=1-1&amp;linkCode=sl1&amp;tag=phillipreevede-21&amp;linkId=4c09b31d0be3bd64b2efe254f502e267&amp;language=de_DE","link*")</f>
        <v>link*</v>
      </c>
      <c r="W74" s="93" t="str">
        <f aca="false">HYPERLINK("http://rover.ebay.com/rover/1/711-53200-19255-0/1?icep_ff3=10&amp;pub=5575076376&amp;toolid=10001&amp;campid=5338164340&amp;customid=&amp;icep_uq=tokina+firin+macro&amp;icep_sellerId=&amp;icep_ex_kw=&amp;icep_sortBy=12&amp;icep_catId=&amp;icep_minPrice=&amp;icep_maxPrice=&amp;ipn=psmain&amp;icep_vectorid=2"&amp;"29466&amp;kwid=902099&amp;mtid=824&amp;kw=lg","link*")</f>
        <v>link*</v>
      </c>
      <c r="X74" s="69" t="s">
        <v>260</v>
      </c>
    </row>
    <row r="75" customFormat="false" ht="15.75" hidden="false" customHeight="false" outlineLevel="0" collapsed="false">
      <c r="A75" s="454" t="b">
        <f aca="false">FALSE()</f>
        <v>0</v>
      </c>
      <c r="B75" s="455" t="b">
        <f aca="false">FALSE()</f>
        <v>0</v>
      </c>
      <c r="C75" s="95" t="s">
        <v>161</v>
      </c>
      <c r="D75" s="25" t="n">
        <v>1395</v>
      </c>
      <c r="E75" s="26" t="n">
        <v>100</v>
      </c>
      <c r="F75" s="27" t="s">
        <v>144</v>
      </c>
      <c r="G75" s="130" t="n">
        <v>94</v>
      </c>
      <c r="H75" s="131" t="n">
        <v>205</v>
      </c>
      <c r="I75" s="32" t="s">
        <v>30</v>
      </c>
      <c r="J75" s="31" t="s">
        <v>57</v>
      </c>
      <c r="K75" s="231" t="n">
        <v>0.35</v>
      </c>
      <c r="L75" s="33" t="n">
        <v>98</v>
      </c>
      <c r="M75" s="176" t="s">
        <v>50</v>
      </c>
      <c r="N75" s="32" t="n">
        <v>9</v>
      </c>
      <c r="O75" s="255" t="s">
        <v>160</v>
      </c>
      <c r="P75" s="32" t="s">
        <v>32</v>
      </c>
      <c r="Q75" s="35" t="n">
        <v>42826</v>
      </c>
      <c r="R75" s="36" t="n">
        <v>2499</v>
      </c>
      <c r="S75" s="36" t="n">
        <v>1950</v>
      </c>
      <c r="T75" s="37" t="str">
        <f aca="false">HYPERLINK("https://amzn.to/2SZ0aZO","link*")</f>
        <v>link*</v>
      </c>
      <c r="U75" s="37" t="str">
        <f aca="false">HYPERLINK("https://www.bhphotovideo.com/c/product/1333230-REG/sony_sel100400gm_fe_100_400mm_f_4_5_5_6_gm.html/BI/19619/KBID/12129/DFF/d10-v21-t1-x817745/SID/EZ","link*")</f>
        <v>link*</v>
      </c>
      <c r="V75" s="71" t="s">
        <v>33</v>
      </c>
      <c r="W75" s="37" t="str">
        <f aca="false">HYPERLINK("http://rover.ebay.com/rover/1/711-53200-19255-0/1?icep_ff3=9&amp;pub=5575076376&amp;toolid=10001&amp;campid=5338164340&amp;customid=&amp;icep_uq=sony+gm+100-400&amp;icep_sellerId=&amp;icep_ex_kw=&amp;icep_sortBy=12&amp;icep_catId=3323&amp;icep_minPrice=&amp;icep_maxPrice=&amp;ipn=psmain&amp;icep_vectorid=2"&amp;"29466&amp;kwid=902099&amp;mtid=824&amp;kw=lg","link*")</f>
        <v>link*</v>
      </c>
      <c r="X75" s="38"/>
    </row>
    <row r="76" customFormat="false" ht="15.75" hidden="false" customHeight="true" outlineLevel="0" collapsed="false">
      <c r="A76" s="454" t="b">
        <f aca="false">FALSE()</f>
        <v>0</v>
      </c>
      <c r="B76" s="455" t="b">
        <f aca="false">FALSE()</f>
        <v>0</v>
      </c>
      <c r="C76" s="285" t="s">
        <v>162</v>
      </c>
      <c r="D76" s="100" t="n">
        <v>1720</v>
      </c>
      <c r="E76" s="101" t="n">
        <v>105</v>
      </c>
      <c r="F76" s="102" t="n">
        <v>1.4</v>
      </c>
      <c r="G76" s="130" t="n">
        <v>116</v>
      </c>
      <c r="H76" s="131" t="n">
        <v>157.5</v>
      </c>
      <c r="I76" s="107" t="s">
        <v>30</v>
      </c>
      <c r="J76" s="286" t="s">
        <v>163</v>
      </c>
      <c r="K76" s="107" t="n">
        <v>0.12</v>
      </c>
      <c r="L76" s="108" t="n">
        <v>100</v>
      </c>
      <c r="M76" s="105" t="s">
        <v>26</v>
      </c>
      <c r="N76" s="107" t="n">
        <v>9</v>
      </c>
      <c r="O76" s="238" t="n">
        <v>43816</v>
      </c>
      <c r="P76" s="107" t="s">
        <v>164</v>
      </c>
      <c r="Q76" s="110" t="n">
        <v>43221</v>
      </c>
      <c r="R76" s="111" t="n">
        <v>1599</v>
      </c>
      <c r="S76" s="111" t="n">
        <v>1200</v>
      </c>
      <c r="T76" s="112" t="str">
        <f aca="false">HYPERLINK("https://amzn.to/2EWeThZ","link*")</f>
        <v>link*</v>
      </c>
      <c r="U76" s="112" t="str">
        <f aca="false">HYPERLINK("https://www.bhphotovideo.com/c/product/1393488-REG/sigma_105mm_f_1_4_dg_hsm.html/BI/19619/KBID/12129/kw/SI10514SO/DFF/d10-v2-t1-xSI10514SO","link*")</f>
        <v>link*</v>
      </c>
      <c r="V76" s="112" t="str">
        <f aca="false">HYPERLINK("https://amzn.to/2WpOvTy","link*")</f>
        <v>link*</v>
      </c>
      <c r="W76" s="112" t="str">
        <f aca="false">HYPERLINK("http://rover.ebay.com/rover/1/711-53200-19255-0/1?icep_ff3=9&amp;pub=5575076376&amp;toolid=10001&amp;campid=5338164340&amp;customid=&amp;icep_uq=sigma+art+105+1.4+sony&amp;icep_sellerId=&amp;icep_ex_kw=&amp;icep_sortBy=12&amp;icep_catId=3323&amp;icep_minPrice=&amp;icep_maxPrice=&amp;ipn=psmain&amp;icep_vec"&amp;"torid=229466&amp;kwid=902099&amp;mtid=824&amp;kw=lg","link*")</f>
        <v>link*</v>
      </c>
      <c r="X76" s="38" t="s">
        <v>260</v>
      </c>
    </row>
    <row r="77" customFormat="false" ht="15.75" hidden="false" customHeight="true" outlineLevel="0" collapsed="false">
      <c r="A77" s="454" t="b">
        <f aca="false">FALSE()</f>
        <v>0</v>
      </c>
      <c r="B77" s="455" t="b">
        <f aca="false">FALSE()</f>
        <v>0</v>
      </c>
      <c r="C77" s="99" t="str">
        <f aca="false">HYPERLINK("https://phillipreeve.net/blog/voigtlander-110mm-f2-5-apo-review/","Voigtlander 110mm F2.5 APO Macro")</f>
        <v>Voigtlander 110mm F2.5 APO Macro</v>
      </c>
      <c r="D77" s="100" t="n">
        <v>771</v>
      </c>
      <c r="E77" s="101" t="n">
        <v>110</v>
      </c>
      <c r="F77" s="102" t="n">
        <v>2.5</v>
      </c>
      <c r="G77" s="130" t="n">
        <v>78</v>
      </c>
      <c r="H77" s="175" t="n">
        <v>100</v>
      </c>
      <c r="I77" s="107" t="s">
        <v>24</v>
      </c>
      <c r="J77" s="106" t="s">
        <v>48</v>
      </c>
      <c r="K77" s="277" t="n">
        <v>1</v>
      </c>
      <c r="L77" s="108" t="n">
        <v>35</v>
      </c>
      <c r="M77" s="105" t="s">
        <v>26</v>
      </c>
      <c r="N77" s="107" t="n">
        <v>10</v>
      </c>
      <c r="O77" s="238" t="n">
        <v>43813</v>
      </c>
      <c r="P77" s="107" t="s">
        <v>28</v>
      </c>
      <c r="Q77" s="110" t="n">
        <v>43405</v>
      </c>
      <c r="R77" s="111" t="n">
        <v>1099</v>
      </c>
      <c r="S77" s="111" t="s">
        <v>36</v>
      </c>
      <c r="T77" s="112" t="str">
        <f aca="false">HYPERLINK("https://amzn.to/2SXYsrm","link*")</f>
        <v>link*</v>
      </c>
      <c r="U77" s="112" t="str">
        <f aca="false">HYPERLINK("https://www.bhphotovideo.com/c/product/1418780-REG/voigtlander_ba349a_macro_apo_lanthar_110mm_f_2_5.html/BI/19619/KBID/12129/kw/VO11025/DFF/d10-v2-t1-xVO11025","link*")</f>
        <v>link*</v>
      </c>
      <c r="V77" s="239" t="s">
        <v>33</v>
      </c>
      <c r="W77" s="112" t="str">
        <f aca="false">HYPERLINK("http://rover.ebay.com/rover/1/711-53200-19255-0/1?icep_ff3=9&amp;pub=5575076376&amp;toolid=10001&amp;campid=5338164340&amp;customid=&amp;icep_uq=voigtlander+110mm+apo+sony&amp;icep_sellerId=&amp;icep_ex_kw=&amp;icep_sortBy=12&amp;icep_catId=3323&amp;icep_minPrice=&amp;icep_maxPrice=&amp;ipn=psmain&amp;icep"&amp;"_vectorid=229466&amp;kwid=902099&amp;mtid=824&amp;kw=lg","link*")</f>
        <v>link*</v>
      </c>
      <c r="X77" s="38"/>
    </row>
    <row r="78" customFormat="false" ht="15.75" hidden="false" customHeight="false" outlineLevel="0" collapsed="false">
      <c r="A78" s="454" t="b">
        <f aca="false">FALSE()</f>
        <v>0</v>
      </c>
      <c r="B78" s="455" t="b">
        <f aca="false">FALSE()</f>
        <v>0</v>
      </c>
      <c r="C78" s="113" t="str">
        <f aca="false">HYPERLINK("https://phillipreeve.net/blog/review-sony-fe-135mm-f1-8-gm/","Sony 1.8/135 GM")</f>
        <v>Sony 1.8/135 GM</v>
      </c>
      <c r="D78" s="40" t="n">
        <v>950</v>
      </c>
      <c r="E78" s="41" t="n">
        <v>135</v>
      </c>
      <c r="F78" s="42" t="n">
        <v>1.8</v>
      </c>
      <c r="G78" s="133" t="n">
        <v>90</v>
      </c>
      <c r="H78" s="139" t="n">
        <v>127</v>
      </c>
      <c r="I78" s="47" t="s">
        <v>30</v>
      </c>
      <c r="J78" s="202" t="s">
        <v>52</v>
      </c>
      <c r="K78" s="279" t="n">
        <v>0.25</v>
      </c>
      <c r="L78" s="48" t="n">
        <v>70</v>
      </c>
      <c r="M78" s="45" t="s">
        <v>26</v>
      </c>
      <c r="N78" s="47" t="n">
        <v>11</v>
      </c>
      <c r="O78" s="79" t="n">
        <v>43751</v>
      </c>
      <c r="P78" s="47" t="s">
        <v>32</v>
      </c>
      <c r="Q78" s="50" t="n">
        <v>43525</v>
      </c>
      <c r="R78" s="51" t="n">
        <v>1899</v>
      </c>
      <c r="S78" s="51" t="n">
        <v>1800</v>
      </c>
      <c r="T78" s="52" t="str">
        <f aca="false">HYPERLINK("https://amzn.to/2WtonMJ","link*")</f>
        <v>link*</v>
      </c>
      <c r="U78" s="52" t="str">
        <f aca="false">HYPERLINK("https://www.bhphotovideo.com/c/product/1393495-REG/sigma_135mm_f_1_8_dg_hsm.html/BI/19619/KBID/12129/kw/SI13518SO/DFF/d10-v2-t1-xSI13518SO","link*")</f>
        <v>link*</v>
      </c>
      <c r="V78" s="52" t="str">
        <f aca="false">HYPERLINK("https://amzn.to/2Z9KKDE","link*")</f>
        <v>link*</v>
      </c>
      <c r="W78" s="52" t="str">
        <f aca="false">HYPERLINK("http://rover.ebay.com/rover/1/711-53200-19255-0/1?icep_ff3=9&amp;pub=5575076376&amp;toolid=10001&amp;campid=5338164340&amp;customid=&amp;icep_uq=sony+gm+135+&amp;icep_sellerId=&amp;icep_ex_kw=&amp;icep_sortBy=12&amp;icep_catId=3323&amp;icep_minPrice=&amp;icep_maxPrice=&amp;ipn=psmain&amp;icep_vectorid=2294"&amp;"66&amp;kwid=902099&amp;mtid=824&amp;kw=lg","link*")</f>
        <v>link*</v>
      </c>
    </row>
    <row r="79" customFormat="false" ht="15.75" hidden="false" customHeight="false" outlineLevel="0" collapsed="false">
      <c r="A79" s="454" t="b">
        <f aca="false">FALSE()</f>
        <v>0</v>
      </c>
      <c r="B79" s="455" t="b">
        <f aca="false">FALSE()</f>
        <v>0</v>
      </c>
      <c r="C79" s="80" t="s">
        <v>166</v>
      </c>
      <c r="D79" s="81" t="n">
        <v>1225</v>
      </c>
      <c r="E79" s="82" t="n">
        <v>135</v>
      </c>
      <c r="F79" s="83" t="n">
        <v>1.8</v>
      </c>
      <c r="G79" s="133" t="n">
        <v>91</v>
      </c>
      <c r="H79" s="139" t="n">
        <v>140.9</v>
      </c>
      <c r="I79" s="86" t="s">
        <v>30</v>
      </c>
      <c r="J79" s="288" t="s">
        <v>52</v>
      </c>
      <c r="K79" s="86" t="n">
        <v>0.2</v>
      </c>
      <c r="L79" s="88" t="n">
        <v>87</v>
      </c>
      <c r="M79" s="89" t="s">
        <v>26</v>
      </c>
      <c r="N79" s="86" t="n">
        <v>9</v>
      </c>
      <c r="O79" s="122" t="n">
        <v>43751</v>
      </c>
      <c r="P79" s="86" t="s">
        <v>43</v>
      </c>
      <c r="Q79" s="91" t="n">
        <v>43221</v>
      </c>
      <c r="R79" s="127" t="n">
        <v>1399</v>
      </c>
      <c r="S79" s="127" t="n">
        <v>850</v>
      </c>
      <c r="T79" s="93" t="str">
        <f aca="false">HYPERLINK("https://amzn.to/2yxIM4R","link*")</f>
        <v>link*</v>
      </c>
      <c r="U79" s="93" t="str">
        <f aca="false">HYPERLINK("https://www.bhphotovideo.com/c/product/1393495-REG/sigma_135mm_f_1_8_dg_hsm.html/BI/19619/KBID/12129/DFF/d10-v21-t1-x881160/SID/EZ","link*")</f>
        <v>link*</v>
      </c>
      <c r="V79" s="94" t="s">
        <v>33</v>
      </c>
      <c r="W79" s="93" t="str">
        <f aca="false">HYPERLINK("http://rover.ebay.com/rover/1/711-53200-19255-0/1?icep_ff3=9&amp;pub=5575076376&amp;toolid=10001&amp;campid=5338164340&amp;customid=&amp;icep_uq=sigma+art+135+sony&amp;icep_sellerId=&amp;icep_ex_kw=&amp;icep_sortBy=12&amp;icep_catId=3323&amp;icep_minPrice=&amp;icep_maxPrice=&amp;ipn=psmain&amp;icep_vectori"&amp;"d=229466&amp;kwid=902099&amp;mtid=824&amp;kw=lg","link*")</f>
        <v>link*</v>
      </c>
      <c r="X79" s="69" t="s">
        <v>260</v>
      </c>
    </row>
    <row r="80" customFormat="false" ht="15.75" hidden="false" customHeight="false" outlineLevel="0" collapsed="false">
      <c r="A80" s="454" t="b">
        <f aca="false">FALSE()</f>
        <v>0</v>
      </c>
      <c r="B80" s="455" t="b">
        <f aca="false">FALSE()</f>
        <v>0</v>
      </c>
      <c r="C80" s="24" t="str">
        <f aca="false">HYPERLINK("https://phillipreeve.net/blog/zeiss-batis-apo-sonnar-t-135mm-f2-8/","Zeiss 2.8/135 APO")</f>
        <v>Zeiss 2.8/135 APO</v>
      </c>
      <c r="D80" s="25" t="n">
        <v>614</v>
      </c>
      <c r="E80" s="26" t="n">
        <v>135</v>
      </c>
      <c r="F80" s="27" t="n">
        <v>2.8</v>
      </c>
      <c r="G80" s="130" t="n">
        <v>99</v>
      </c>
      <c r="H80" s="175" t="n">
        <v>120</v>
      </c>
      <c r="I80" s="32" t="s">
        <v>30</v>
      </c>
      <c r="J80" s="31" t="s">
        <v>54</v>
      </c>
      <c r="K80" s="32" t="n">
        <v>0.19</v>
      </c>
      <c r="L80" s="33" t="n">
        <v>87</v>
      </c>
      <c r="M80" s="176" t="s">
        <v>50</v>
      </c>
      <c r="N80" s="32" t="n">
        <v>9</v>
      </c>
      <c r="O80" s="98" t="n">
        <v>43783</v>
      </c>
      <c r="P80" s="32" t="s">
        <v>59</v>
      </c>
      <c r="Q80" s="35" t="n">
        <v>42826</v>
      </c>
      <c r="R80" s="36" t="n">
        <v>1699</v>
      </c>
      <c r="S80" s="36" t="n">
        <v>1000</v>
      </c>
      <c r="T80" s="37" t="str">
        <f aca="false">HYPERLINK("https://amzn.to/319GJA4","link*")</f>
        <v>link*</v>
      </c>
      <c r="U80" s="37" t="str">
        <f aca="false">HYPERLINK("https://www.bhphotovideo.com/c/product/1330083-REG/zeiss_2136_695_batis_135mm_f_2_8_lens.html/BI/19619/KBID/12129/DFF/d10-v21-t1-x814884/SID/EZ","link*")</f>
        <v>link*</v>
      </c>
      <c r="V80" s="71" t="s">
        <v>33</v>
      </c>
      <c r="W80" s="37" t="str">
        <f aca="false">HYPERLINK("http://rover.ebay.com/rover/1/711-53200-19255-0/1?icep_ff3=9&amp;pub=5575076376&amp;toolid=10001&amp;campid=5338164340&amp;customid=&amp;icep_uq=zeiss+batis+135+2.8&amp;icep_sellerId=&amp;icep_ex_kw=&amp;icep_sortBy=12&amp;icep_catId=3323&amp;icep_minPrice=&amp;icep_maxPrice=&amp;ipn=psmain&amp;icep_vector"&amp;"id=229466&amp;kwid=902099&amp;mtid=824&amp;kw=lg","link*")</f>
        <v>link*</v>
      </c>
      <c r="X80" s="38"/>
    </row>
    <row r="81" customFormat="false" ht="15.75" hidden="false" customHeight="false" outlineLevel="0" collapsed="false">
      <c r="A81" s="454" t="b">
        <f aca="false">FALSE()</f>
        <v>0</v>
      </c>
      <c r="B81" s="455" t="b">
        <f aca="false">FALSE()</f>
        <v>0</v>
      </c>
      <c r="C81" s="285" t="s">
        <v>172</v>
      </c>
      <c r="D81" s="100" t="n">
        <v>2215</v>
      </c>
      <c r="E81" s="101" t="n">
        <v>200</v>
      </c>
      <c r="F81" s="102" t="s">
        <v>173</v>
      </c>
      <c r="G81" s="130" t="n">
        <v>112</v>
      </c>
      <c r="H81" s="175" t="n">
        <v>318</v>
      </c>
      <c r="I81" s="107" t="s">
        <v>30</v>
      </c>
      <c r="J81" s="290" t="s">
        <v>105</v>
      </c>
      <c r="K81" s="107" t="n">
        <v>0.2</v>
      </c>
      <c r="L81" s="108" t="n">
        <v>240</v>
      </c>
      <c r="M81" s="278" t="s">
        <v>50</v>
      </c>
      <c r="N81" s="107" t="n">
        <v>11</v>
      </c>
      <c r="O81" s="291" t="s">
        <v>174</v>
      </c>
      <c r="P81" s="107" t="s">
        <v>32</v>
      </c>
      <c r="Q81" s="110" t="n">
        <v>43647</v>
      </c>
      <c r="R81" s="111" t="n">
        <v>1999</v>
      </c>
      <c r="S81" s="111" t="s">
        <v>36</v>
      </c>
      <c r="T81" s="239"/>
      <c r="U81" s="112" t="str">
        <f aca="false">HYPERLINK("https://www.bhphotovideo.com/c/product/1485540-REG/sony_sel200600g_fe_200_600mm_f_5_6_6_3_g.html/BI/19619/KBID/12129/DFF/d10-v21-t1-x968882/SID/EZ","link*")</f>
        <v>link*</v>
      </c>
      <c r="V81" s="239" t="s">
        <v>33</v>
      </c>
      <c r="W81" s="112" t="str">
        <f aca="false">HYPERLINK("http://rover.ebay.com/rover/1/711-53200-19255-0/1?icep_ff3=9&amp;pub=5575076376&amp;toolid=10001&amp;campid=5338164340&amp;customid=&amp;icep_uq=sony+200-600&amp;icep_sellerId=&amp;icep_ex_kw=&amp;icep_sortBy=12&amp;icep_catId=3323&amp;icep_minPrice=&amp;icep_maxPrice=&amp;ipn=psmain&amp;icep_vectorid=2294"&amp;"66&amp;kwid=902099&amp;mtid=824&amp;kw=lg","link*")</f>
        <v>link*</v>
      </c>
      <c r="X81" s="38"/>
    </row>
    <row r="82" customFormat="false" ht="15.75" hidden="false" customHeight="false" outlineLevel="0" collapsed="false">
      <c r="A82" s="454" t="b">
        <f aca="false">FALSE()</f>
        <v>0</v>
      </c>
      <c r="B82" s="455" t="b">
        <f aca="false">FALSE()</f>
        <v>0</v>
      </c>
      <c r="C82" s="285" t="s">
        <v>175</v>
      </c>
      <c r="D82" s="100" t="n">
        <v>2895</v>
      </c>
      <c r="E82" s="101" t="n">
        <v>400</v>
      </c>
      <c r="F82" s="102" t="n">
        <v>2.8</v>
      </c>
      <c r="G82" s="130" t="n">
        <v>158</v>
      </c>
      <c r="H82" s="175" t="n">
        <v>359</v>
      </c>
      <c r="I82" s="107" t="s">
        <v>30</v>
      </c>
      <c r="J82" s="106" t="s">
        <v>176</v>
      </c>
      <c r="K82" s="107" t="n">
        <v>0.16</v>
      </c>
      <c r="L82" s="108" t="n">
        <v>270</v>
      </c>
      <c r="M82" s="278" t="s">
        <v>50</v>
      </c>
      <c r="N82" s="107" t="n">
        <v>11</v>
      </c>
      <c r="O82" s="291" t="s">
        <v>177</v>
      </c>
      <c r="P82" s="107" t="s">
        <v>32</v>
      </c>
      <c r="Q82" s="110" t="n">
        <v>43313</v>
      </c>
      <c r="R82" s="111" t="n">
        <v>11999</v>
      </c>
      <c r="S82" s="111" t="s">
        <v>36</v>
      </c>
      <c r="T82" s="239"/>
      <c r="U82" s="112" t="str">
        <f aca="false">HYPERLINK("https://www.bhphotovideo.com/c/product/1369634-REG/sony_fe_400mm_f_2_8_gm.html/BI/19619/KBID/12129/DFF/d10-v21-t1-x905722/SID/EZ","link*")</f>
        <v>link*</v>
      </c>
      <c r="V82" s="239" t="s">
        <v>33</v>
      </c>
      <c r="W82" s="112" t="str">
        <f aca="false">HYPERLINK("http://rover.ebay.com/rover/1/711-53200-19255-0/1?icep_ff3=9&amp;pub=5575076376&amp;toolid=10001&amp;campid=5338164340&amp;customid=&amp;icep_uq=sony+400+gm&amp;icep_sellerId=&amp;icep_ex_kw=&amp;icep_sortBy=12&amp;icep_catId=3323&amp;icep_minPrice=&amp;icep_maxPrice=&amp;ipn=psmain&amp;icep_vectorid=22946"&amp;"6&amp;kwid=902099&amp;mtid=824&amp;kw=lg","link*")</f>
        <v>link*</v>
      </c>
      <c r="X82" s="38"/>
    </row>
    <row r="83" customFormat="false" ht="15.75" hidden="false" customHeight="false" outlineLevel="0" collapsed="false">
      <c r="A83" s="454" t="b">
        <f aca="false">FALSE()</f>
        <v>0</v>
      </c>
      <c r="B83" s="455" t="b">
        <f aca="false">FALSE()</f>
        <v>0</v>
      </c>
      <c r="C83" s="54" t="s">
        <v>178</v>
      </c>
      <c r="D83" s="55" t="n">
        <v>3040</v>
      </c>
      <c r="E83" s="56" t="n">
        <v>600</v>
      </c>
      <c r="F83" s="57" t="n">
        <v>4</v>
      </c>
      <c r="G83" s="133" t="n">
        <v>164</v>
      </c>
      <c r="H83" s="139" t="n">
        <v>449</v>
      </c>
      <c r="I83" s="62" t="s">
        <v>30</v>
      </c>
      <c r="J83" s="61" t="s">
        <v>25</v>
      </c>
      <c r="K83" s="62" t="n">
        <v>0.14</v>
      </c>
      <c r="L83" s="63" t="n">
        <v>451</v>
      </c>
      <c r="M83" s="114" t="s">
        <v>50</v>
      </c>
      <c r="N83" s="62" t="n">
        <v>11</v>
      </c>
      <c r="O83" s="293" t="s">
        <v>179</v>
      </c>
      <c r="P83" s="62" t="s">
        <v>32</v>
      </c>
      <c r="Q83" s="65" t="n">
        <v>43678</v>
      </c>
      <c r="R83" s="66" t="s">
        <v>268</v>
      </c>
      <c r="S83" s="66" t="s">
        <v>36</v>
      </c>
      <c r="T83" s="140"/>
      <c r="U83" s="52" t="str">
        <f aca="false">HYPERLINK("https://www.bhphotovideo.com/c/product/1485539-REG/sony_sel600f40gm_fe_600mm_f_4_gm.html/BI/19619/KBID/12129/DFF/d10-v21-t1-x968881/SID/EZ","link*")</f>
        <v>link*</v>
      </c>
      <c r="V83" s="140" t="s">
        <v>33</v>
      </c>
      <c r="W83" s="52" t="str">
        <f aca="false">HYPERLINK("http://rover.ebay.com/rover/1/711-53200-19255-0/1?icep_ff3=9&amp;pub=5575076376&amp;toolid=10001&amp;campid=5338164340&amp;customid=&amp;icep_uq=sony+600+gm&amp;icep_sellerId=&amp;icep_ex_kw=&amp;icep_sortBy=12&amp;icep_catId=3323&amp;icep_minPrice=&amp;icep_maxPrice=&amp;ipn=psmain&amp;icep_vectorid=22946"&amp;"6&amp;kwid=902099&amp;mtid=824&amp;kw=lg","link*")</f>
        <v>link*</v>
      </c>
    </row>
    <row r="84" customFormat="false" ht="15.75" hidden="true" customHeight="false" outlineLevel="0" collapsed="false">
      <c r="A84" s="454" t="b">
        <f aca="false">FALSE()</f>
        <v>0</v>
      </c>
      <c r="B84" s="455" t="b">
        <f aca="false">FALSE()</f>
        <v>0</v>
      </c>
      <c r="C84" s="294"/>
      <c r="D84" s="295"/>
      <c r="E84" s="296"/>
      <c r="F84" s="297"/>
      <c r="G84" s="133"/>
      <c r="H84" s="139"/>
      <c r="I84" s="69"/>
      <c r="J84" s="298"/>
      <c r="K84" s="69"/>
      <c r="L84" s="299"/>
      <c r="M84" s="69"/>
      <c r="N84" s="69"/>
      <c r="O84" s="69"/>
      <c r="P84" s="69"/>
      <c r="Q84" s="242"/>
      <c r="R84" s="300"/>
      <c r="S84" s="300"/>
      <c r="T84" s="301"/>
      <c r="U84" s="301"/>
      <c r="V84" s="301"/>
      <c r="W84" s="301"/>
    </row>
    <row r="85" customFormat="false" ht="15.75" hidden="true" customHeight="false" outlineLevel="0" collapsed="false">
      <c r="A85" s="294"/>
      <c r="B85" s="294"/>
      <c r="C85" s="294"/>
      <c r="D85" s="295"/>
      <c r="E85" s="296"/>
      <c r="F85" s="297"/>
      <c r="G85" s="133"/>
      <c r="H85" s="139"/>
      <c r="I85" s="69"/>
      <c r="J85" s="298"/>
      <c r="K85" s="69"/>
      <c r="L85" s="299"/>
      <c r="M85" s="69"/>
      <c r="N85" s="69"/>
      <c r="O85" s="69"/>
      <c r="P85" s="69"/>
      <c r="Q85" s="242"/>
      <c r="R85" s="300"/>
      <c r="S85" s="300"/>
      <c r="T85" s="301"/>
      <c r="U85" s="301"/>
      <c r="V85" s="301"/>
      <c r="W85" s="301"/>
    </row>
    <row r="86" customFormat="false" ht="15.75" hidden="true" customHeight="false" outlineLevel="0" collapsed="false">
      <c r="A86" s="294"/>
      <c r="B86" s="294"/>
      <c r="C86" s="294"/>
      <c r="D86" s="295"/>
      <c r="E86" s="296"/>
      <c r="F86" s="297"/>
      <c r="G86" s="133"/>
      <c r="H86" s="139"/>
      <c r="I86" s="69"/>
      <c r="J86" s="298"/>
      <c r="K86" s="69"/>
      <c r="L86" s="299"/>
      <c r="M86" s="69"/>
      <c r="N86" s="69"/>
      <c r="O86" s="69"/>
      <c r="P86" s="69"/>
      <c r="Q86" s="242"/>
      <c r="R86" s="300"/>
      <c r="S86" s="300"/>
      <c r="T86" s="301"/>
      <c r="U86" s="301"/>
      <c r="V86" s="301"/>
      <c r="W86" s="301"/>
    </row>
    <row r="87" customFormat="false" ht="15.75" hidden="true" customHeight="false" outlineLevel="0" collapsed="false">
      <c r="A87" s="294"/>
      <c r="B87" s="294"/>
      <c r="C87" s="294"/>
      <c r="D87" s="295"/>
      <c r="E87" s="296"/>
      <c r="F87" s="297"/>
      <c r="G87" s="133"/>
      <c r="H87" s="139"/>
      <c r="I87" s="69"/>
      <c r="J87" s="298"/>
      <c r="K87" s="69"/>
      <c r="L87" s="299"/>
      <c r="M87" s="69"/>
      <c r="N87" s="69"/>
      <c r="O87" s="69"/>
      <c r="P87" s="69"/>
      <c r="Q87" s="242"/>
      <c r="R87" s="300"/>
      <c r="S87" s="300"/>
      <c r="T87" s="301"/>
      <c r="U87" s="301"/>
      <c r="V87" s="301"/>
      <c r="W87" s="301"/>
    </row>
    <row r="88" customFormat="false" ht="15.75" hidden="true" customHeight="false" outlineLevel="0" collapsed="false">
      <c r="A88" s="294"/>
      <c r="B88" s="294"/>
      <c r="C88" s="294"/>
      <c r="D88" s="295"/>
      <c r="E88" s="296"/>
      <c r="F88" s="297"/>
      <c r="G88" s="133"/>
      <c r="H88" s="134"/>
      <c r="I88" s="69"/>
      <c r="J88" s="298"/>
      <c r="K88" s="69"/>
      <c r="L88" s="299"/>
      <c r="M88" s="69"/>
      <c r="N88" s="69"/>
      <c r="O88" s="69"/>
      <c r="P88" s="69"/>
      <c r="Q88" s="242"/>
      <c r="R88" s="300"/>
      <c r="S88" s="300"/>
      <c r="T88" s="301"/>
      <c r="U88" s="301"/>
      <c r="V88" s="301"/>
      <c r="W88" s="301"/>
    </row>
    <row r="89" customFormat="false" ht="15.75" hidden="true" customHeight="false" outlineLevel="0" collapsed="false">
      <c r="A89" s="294"/>
      <c r="B89" s="294"/>
      <c r="C89" s="294"/>
      <c r="D89" s="295"/>
      <c r="E89" s="296"/>
      <c r="F89" s="297"/>
      <c r="G89" s="133"/>
      <c r="H89" s="139"/>
      <c r="I89" s="69"/>
      <c r="J89" s="298"/>
      <c r="K89" s="69"/>
      <c r="L89" s="299"/>
      <c r="M89" s="69"/>
      <c r="N89" s="69"/>
      <c r="O89" s="69"/>
      <c r="P89" s="69"/>
      <c r="Q89" s="242"/>
      <c r="R89" s="300"/>
      <c r="S89" s="300"/>
      <c r="T89" s="301"/>
      <c r="U89" s="301"/>
      <c r="V89" s="301"/>
      <c r="W89" s="301"/>
    </row>
    <row r="90" customFormat="false" ht="15.75" hidden="true" customHeight="false" outlineLevel="0" collapsed="false">
      <c r="A90" s="294"/>
      <c r="B90" s="294"/>
      <c r="C90" s="294"/>
      <c r="D90" s="295"/>
      <c r="E90" s="296"/>
      <c r="F90" s="297"/>
      <c r="G90" s="133"/>
      <c r="H90" s="139"/>
      <c r="I90" s="69"/>
      <c r="J90" s="298"/>
      <c r="K90" s="69"/>
      <c r="L90" s="299"/>
      <c r="M90" s="69"/>
      <c r="N90" s="69"/>
      <c r="O90" s="69"/>
      <c r="P90" s="69"/>
      <c r="Q90" s="242"/>
      <c r="R90" s="300"/>
      <c r="S90" s="300"/>
      <c r="T90" s="301"/>
      <c r="U90" s="301"/>
      <c r="V90" s="301"/>
      <c r="W90" s="301"/>
    </row>
    <row r="91" customFormat="false" ht="15.75" hidden="true" customHeight="false" outlineLevel="0" collapsed="false">
      <c r="A91" s="294"/>
      <c r="B91" s="294"/>
      <c r="C91" s="294"/>
      <c r="D91" s="295"/>
      <c r="E91" s="296"/>
      <c r="F91" s="297"/>
      <c r="G91" s="133"/>
      <c r="H91" s="139"/>
      <c r="I91" s="69"/>
      <c r="J91" s="298"/>
      <c r="K91" s="69"/>
      <c r="L91" s="299"/>
      <c r="M91" s="69"/>
      <c r="N91" s="69"/>
      <c r="O91" s="69"/>
      <c r="P91" s="69"/>
      <c r="Q91" s="242"/>
      <c r="R91" s="300"/>
      <c r="S91" s="300"/>
      <c r="T91" s="301"/>
      <c r="U91" s="301"/>
      <c r="V91" s="301"/>
      <c r="W91" s="301"/>
    </row>
    <row r="92" customFormat="false" ht="15.75" hidden="true" customHeight="false" outlineLevel="0" collapsed="false">
      <c r="A92" s="294"/>
      <c r="B92" s="294"/>
      <c r="C92" s="294"/>
      <c r="D92" s="295"/>
      <c r="E92" s="296"/>
      <c r="F92" s="297"/>
      <c r="G92" s="133"/>
      <c r="H92" s="139"/>
      <c r="I92" s="69"/>
      <c r="J92" s="298"/>
      <c r="K92" s="69"/>
      <c r="L92" s="299"/>
      <c r="M92" s="69"/>
      <c r="N92" s="69"/>
      <c r="O92" s="69"/>
      <c r="P92" s="69"/>
      <c r="Q92" s="242"/>
      <c r="R92" s="300"/>
      <c r="S92" s="300"/>
      <c r="T92" s="301"/>
      <c r="U92" s="301"/>
      <c r="V92" s="301"/>
      <c r="W92" s="301"/>
    </row>
    <row r="93" customFormat="false" ht="15.75" hidden="true" customHeight="false" outlineLevel="0" collapsed="false">
      <c r="A93" s="294"/>
      <c r="B93" s="294"/>
      <c r="C93" s="294"/>
      <c r="D93" s="295"/>
      <c r="E93" s="296"/>
      <c r="F93" s="297"/>
      <c r="G93" s="133"/>
      <c r="H93" s="139"/>
      <c r="I93" s="69"/>
      <c r="J93" s="298"/>
      <c r="K93" s="69"/>
      <c r="L93" s="299"/>
      <c r="M93" s="69"/>
      <c r="N93" s="69"/>
      <c r="O93" s="69"/>
      <c r="P93" s="69"/>
      <c r="Q93" s="242"/>
      <c r="R93" s="300"/>
      <c r="S93" s="300"/>
      <c r="T93" s="301"/>
      <c r="U93" s="301"/>
      <c r="V93" s="301"/>
      <c r="W93" s="301"/>
    </row>
    <row r="94" customFormat="false" ht="15.75" hidden="true" customHeight="false" outlineLevel="0" collapsed="false">
      <c r="A94" s="294"/>
      <c r="B94" s="294"/>
      <c r="C94" s="294"/>
      <c r="D94" s="295"/>
      <c r="E94" s="296"/>
      <c r="F94" s="297"/>
      <c r="G94" s="133"/>
      <c r="H94" s="134"/>
      <c r="I94" s="69"/>
      <c r="J94" s="298"/>
      <c r="K94" s="69"/>
      <c r="L94" s="299"/>
      <c r="M94" s="69"/>
      <c r="N94" s="69"/>
      <c r="O94" s="69"/>
      <c r="P94" s="69"/>
      <c r="Q94" s="242"/>
      <c r="R94" s="300"/>
      <c r="S94" s="300"/>
      <c r="T94" s="301"/>
      <c r="U94" s="301"/>
      <c r="V94" s="301"/>
      <c r="W94" s="301"/>
    </row>
    <row r="95" customFormat="false" ht="15.75" hidden="true" customHeight="false" outlineLevel="0" collapsed="false">
      <c r="A95" s="294"/>
      <c r="B95" s="294"/>
      <c r="C95" s="294"/>
      <c r="D95" s="295"/>
      <c r="E95" s="296"/>
      <c r="F95" s="297"/>
      <c r="G95" s="133"/>
      <c r="H95" s="139"/>
      <c r="I95" s="69"/>
      <c r="J95" s="298"/>
      <c r="K95" s="69"/>
      <c r="L95" s="299"/>
      <c r="M95" s="69"/>
      <c r="N95" s="69"/>
      <c r="O95" s="69"/>
      <c r="P95" s="69"/>
      <c r="Q95" s="242"/>
      <c r="R95" s="300"/>
      <c r="S95" s="300"/>
      <c r="T95" s="301"/>
      <c r="U95" s="301"/>
      <c r="V95" s="301"/>
      <c r="W95" s="301"/>
    </row>
    <row r="96" customFormat="false" ht="15.75" hidden="true" customHeight="false" outlineLevel="0" collapsed="false">
      <c r="A96" s="294"/>
      <c r="B96" s="294"/>
      <c r="C96" s="294"/>
      <c r="D96" s="295"/>
      <c r="E96" s="296"/>
      <c r="F96" s="297"/>
      <c r="G96" s="196"/>
      <c r="H96" s="197"/>
      <c r="I96" s="69"/>
      <c r="J96" s="298"/>
      <c r="K96" s="69"/>
      <c r="L96" s="299"/>
      <c r="M96" s="69"/>
      <c r="N96" s="69"/>
      <c r="O96" s="69"/>
      <c r="P96" s="69"/>
      <c r="Q96" s="242"/>
      <c r="R96" s="300"/>
      <c r="S96" s="300"/>
      <c r="T96" s="301"/>
      <c r="U96" s="301"/>
      <c r="V96" s="301"/>
      <c r="W96" s="301"/>
    </row>
    <row r="97" customFormat="false" ht="15.75" hidden="true" customHeight="false" outlineLevel="0" collapsed="false">
      <c r="A97" s="294"/>
      <c r="B97" s="294"/>
      <c r="C97" s="294"/>
      <c r="D97" s="295"/>
      <c r="E97" s="296"/>
      <c r="F97" s="297"/>
      <c r="G97" s="302"/>
      <c r="H97" s="302"/>
      <c r="I97" s="69"/>
      <c r="J97" s="298"/>
      <c r="K97" s="69"/>
      <c r="L97" s="299"/>
      <c r="M97" s="69"/>
      <c r="N97" s="69"/>
      <c r="O97" s="69"/>
      <c r="P97" s="69"/>
      <c r="Q97" s="242"/>
      <c r="R97" s="300"/>
      <c r="S97" s="300"/>
      <c r="T97" s="301"/>
      <c r="U97" s="301"/>
      <c r="V97" s="301"/>
      <c r="W97" s="301"/>
    </row>
    <row r="98" customFormat="false" ht="15.75" hidden="true" customHeight="false" outlineLevel="0" collapsed="false">
      <c r="A98" s="294"/>
      <c r="B98" s="294"/>
      <c r="C98" s="294"/>
      <c r="D98" s="295"/>
      <c r="E98" s="296"/>
      <c r="F98" s="297"/>
      <c r="G98" s="302"/>
      <c r="H98" s="302"/>
      <c r="I98" s="69"/>
      <c r="J98" s="298"/>
      <c r="K98" s="69"/>
      <c r="L98" s="299"/>
      <c r="M98" s="69"/>
      <c r="N98" s="69"/>
      <c r="O98" s="69"/>
      <c r="P98" s="69"/>
      <c r="Q98" s="242"/>
      <c r="R98" s="300"/>
      <c r="S98" s="300"/>
      <c r="T98" s="301"/>
      <c r="U98" s="301"/>
      <c r="V98" s="301"/>
      <c r="W98" s="301"/>
    </row>
    <row r="99" customFormat="false" ht="15.75" hidden="true" customHeight="false" outlineLevel="0" collapsed="false">
      <c r="A99" s="294"/>
      <c r="B99" s="294"/>
      <c r="C99" s="294"/>
      <c r="D99" s="295"/>
      <c r="E99" s="296"/>
      <c r="F99" s="297"/>
      <c r="G99" s="302"/>
      <c r="H99" s="302"/>
      <c r="I99" s="69"/>
      <c r="J99" s="298"/>
      <c r="K99" s="69"/>
      <c r="L99" s="299"/>
      <c r="M99" s="69"/>
      <c r="N99" s="69"/>
      <c r="O99" s="69"/>
      <c r="P99" s="69"/>
      <c r="Q99" s="242"/>
      <c r="R99" s="300"/>
      <c r="S99" s="300"/>
      <c r="T99" s="301"/>
      <c r="U99" s="301"/>
      <c r="V99" s="301"/>
      <c r="W99" s="301"/>
    </row>
    <row r="100" customFormat="false" ht="15.75" hidden="true" customHeight="false" outlineLevel="0" collapsed="false">
      <c r="A100" s="294"/>
      <c r="B100" s="294"/>
      <c r="C100" s="294"/>
      <c r="D100" s="295"/>
      <c r="E100" s="296"/>
      <c r="F100" s="297"/>
      <c r="G100" s="302"/>
      <c r="H100" s="302"/>
      <c r="I100" s="69"/>
      <c r="J100" s="298"/>
      <c r="K100" s="69"/>
      <c r="L100" s="299"/>
      <c r="M100" s="69"/>
      <c r="N100" s="69"/>
      <c r="O100" s="69"/>
      <c r="P100" s="69"/>
      <c r="Q100" s="242"/>
      <c r="R100" s="300"/>
      <c r="S100" s="300"/>
      <c r="T100" s="301"/>
      <c r="U100" s="301"/>
      <c r="V100" s="301"/>
      <c r="W100" s="301"/>
    </row>
    <row r="101" customFormat="false" ht="15.75" hidden="true" customHeight="false" outlineLevel="0" collapsed="false">
      <c r="A101" s="294"/>
      <c r="B101" s="294"/>
      <c r="C101" s="294"/>
      <c r="D101" s="295"/>
      <c r="E101" s="296"/>
      <c r="F101" s="297"/>
      <c r="G101" s="302"/>
      <c r="H101" s="302"/>
      <c r="I101" s="69"/>
      <c r="J101" s="298"/>
      <c r="K101" s="69"/>
      <c r="L101" s="299"/>
      <c r="M101" s="69"/>
      <c r="N101" s="69"/>
      <c r="O101" s="69"/>
      <c r="P101" s="69"/>
      <c r="Q101" s="242"/>
      <c r="R101" s="300"/>
      <c r="S101" s="300"/>
      <c r="T101" s="301"/>
      <c r="U101" s="301"/>
      <c r="V101" s="301"/>
      <c r="W101" s="301"/>
    </row>
    <row r="102" customFormat="false" ht="15.75" hidden="true" customHeight="false" outlineLevel="0" collapsed="false">
      <c r="A102" s="294"/>
      <c r="B102" s="294"/>
      <c r="C102" s="294"/>
      <c r="D102" s="295"/>
      <c r="E102" s="296"/>
      <c r="F102" s="297"/>
      <c r="G102" s="302"/>
      <c r="H102" s="302"/>
      <c r="I102" s="69"/>
      <c r="J102" s="298"/>
      <c r="K102" s="69"/>
      <c r="L102" s="299"/>
      <c r="M102" s="69"/>
      <c r="N102" s="69"/>
      <c r="O102" s="69"/>
      <c r="P102" s="69"/>
      <c r="Q102" s="242"/>
      <c r="R102" s="300"/>
      <c r="S102" s="300"/>
      <c r="T102" s="301"/>
      <c r="U102" s="301"/>
      <c r="V102" s="301"/>
      <c r="W102" s="301"/>
    </row>
    <row r="103" customFormat="false" ht="15.75" hidden="true" customHeight="false" outlineLevel="0" collapsed="false">
      <c r="A103" s="294"/>
      <c r="B103" s="294"/>
      <c r="C103" s="294"/>
      <c r="D103" s="295"/>
      <c r="E103" s="296"/>
      <c r="F103" s="297"/>
      <c r="G103" s="302"/>
      <c r="H103" s="302"/>
      <c r="I103" s="69"/>
      <c r="J103" s="298"/>
      <c r="K103" s="69"/>
      <c r="L103" s="299"/>
      <c r="M103" s="69"/>
      <c r="N103" s="69"/>
      <c r="O103" s="69"/>
      <c r="P103" s="69"/>
      <c r="Q103" s="242"/>
      <c r="R103" s="300"/>
      <c r="S103" s="300"/>
      <c r="T103" s="301"/>
      <c r="U103" s="301"/>
      <c r="V103" s="301"/>
      <c r="W103" s="301"/>
    </row>
    <row r="104" customFormat="false" ht="15.75" hidden="false" customHeight="false" outlineLevel="0" collapsed="false">
      <c r="A104" s="294"/>
      <c r="B104" s="294"/>
      <c r="C104" s="303" t="s">
        <v>180</v>
      </c>
      <c r="D104" s="304"/>
      <c r="E104" s="303"/>
      <c r="F104" s="303"/>
      <c r="G104" s="305"/>
      <c r="H104" s="306"/>
      <c r="I104" s="303"/>
      <c r="J104" s="307"/>
      <c r="K104" s="303"/>
      <c r="L104" s="303"/>
      <c r="M104" s="303"/>
      <c r="N104" s="303"/>
      <c r="O104" s="303"/>
      <c r="P104" s="303"/>
      <c r="Q104" s="303"/>
      <c r="R104" s="303"/>
      <c r="S104" s="303"/>
      <c r="T104" s="308"/>
      <c r="U104" s="308"/>
      <c r="V104" s="308"/>
      <c r="W104" s="308"/>
    </row>
    <row r="105" customFormat="false" ht="15.75" hidden="false" customHeight="false" outlineLevel="0" collapsed="false">
      <c r="A105" s="294"/>
      <c r="B105" s="294"/>
      <c r="C105" s="69" t="s">
        <v>181</v>
      </c>
      <c r="D105" s="309" t="n">
        <f aca="false">COUNT(E2:E102)</f>
        <v>81</v>
      </c>
      <c r="F105" s="69"/>
      <c r="G105" s="302"/>
      <c r="H105" s="310"/>
      <c r="I105" s="69"/>
      <c r="J105" s="298"/>
      <c r="K105" s="69"/>
      <c r="L105" s="69"/>
      <c r="M105" s="69"/>
      <c r="N105" s="69"/>
      <c r="O105" s="69"/>
      <c r="P105" s="69"/>
      <c r="Q105" s="69"/>
      <c r="R105" s="69"/>
      <c r="S105" s="69"/>
      <c r="T105" s="301"/>
      <c r="U105" s="301"/>
      <c r="V105" s="301"/>
    </row>
    <row r="106" customFormat="false" ht="15.75" hidden="false" customHeight="false" outlineLevel="0" collapsed="false">
      <c r="A106" s="458"/>
      <c r="B106" s="458" t="str">
        <f aca="false">IFERROR(__xludf.dummyfunction("Query(B5:X47, ""where A = TRUE"",1)"),"#VALUE!")</f>
        <v>#VALUE!</v>
      </c>
      <c r="C106" s="311" t="s">
        <v>286</v>
      </c>
      <c r="G106" s="302"/>
      <c r="H106" s="310"/>
      <c r="J106" s="298"/>
    </row>
    <row r="107" customFormat="false" ht="15.75" hidden="false" customHeight="false" outlineLevel="0" collapsed="false">
      <c r="A107" s="294"/>
      <c r="B107" s="294"/>
      <c r="C107" s="294"/>
      <c r="D107" s="69"/>
      <c r="E107" s="69"/>
      <c r="F107" s="69"/>
      <c r="G107" s="302"/>
      <c r="H107" s="310"/>
      <c r="I107" s="69"/>
      <c r="J107" s="298"/>
      <c r="K107" s="69"/>
      <c r="L107" s="69"/>
      <c r="M107" s="69"/>
      <c r="N107" s="69"/>
      <c r="O107" s="69"/>
      <c r="P107" s="69"/>
      <c r="Q107" s="69"/>
      <c r="R107" s="69"/>
      <c r="S107" s="69"/>
      <c r="T107" s="301"/>
      <c r="U107" s="301"/>
      <c r="V107" s="301"/>
      <c r="W107" s="301"/>
    </row>
    <row r="108" customFormat="false" ht="15.75" hidden="false" customHeight="false" outlineLevel="0" collapsed="false">
      <c r="A108" s="294"/>
      <c r="B108" s="294"/>
      <c r="C108" s="312" t="str">
        <f aca="false">HYPERLINK("https://phillipreeve.net/blog/sony-fe-lenses/fe-list/","If you have a question or want to report any mistake please leave a comment on the blog.")</f>
        <v>If you have a question or want to report any mistake please leave a comment on the blog.</v>
      </c>
      <c r="D108" s="313"/>
      <c r="E108" s="313"/>
      <c r="F108" s="313"/>
      <c r="G108" s="314"/>
      <c r="H108" s="315"/>
      <c r="I108" s="313"/>
      <c r="J108" s="316"/>
      <c r="K108" s="313"/>
    </row>
    <row r="109" customFormat="false" ht="15.75" hidden="false" customHeight="false" outlineLevel="0" collapsed="false">
      <c r="A109" s="294"/>
      <c r="B109" s="294"/>
      <c r="G109" s="302"/>
      <c r="H109" s="310"/>
    </row>
    <row r="110" customFormat="false" ht="15.75" hidden="false" customHeight="false" outlineLevel="0" collapsed="false">
      <c r="A110" s="294"/>
      <c r="B110" s="294"/>
      <c r="C110" s="294" t="s">
        <v>183</v>
      </c>
      <c r="G110" s="302"/>
      <c r="H110" s="310"/>
      <c r="J110" s="298"/>
    </row>
    <row r="111" customFormat="false" ht="15.75" hidden="false" customHeight="false" outlineLevel="0" collapsed="false">
      <c r="A111" s="294"/>
      <c r="B111" s="294"/>
      <c r="C111" s="317" t="str">
        <f aca="false">HYPERLINK("https://phillipreeve.net/blog/fe-lenses-sony-comprehensive-independent-guide/","Our Guide to FE-mount lenses - If you need any help on finding the right lens.")</f>
        <v>Our Guide to FE-mount lenses - If you need any help on finding the right lens.</v>
      </c>
      <c r="G111" s="302"/>
      <c r="H111" s="310"/>
      <c r="J111" s="298"/>
    </row>
    <row r="112" customFormat="false" ht="15.75" hidden="false" customHeight="false" outlineLevel="0" collapsed="false">
      <c r="A112" s="294"/>
      <c r="B112" s="294"/>
      <c r="C112" s="317" t="str">
        <f aca="false">HYPERLINK("https://phillipreeve.net/blog/9-golden-rules-to-buy-the-wrong-lens/","10 golden rules to buy the wrong lens.")</f>
        <v>10 golden rules to buy the wrong lens.</v>
      </c>
      <c r="G112" s="302"/>
      <c r="H112" s="310"/>
      <c r="J112" s="298"/>
    </row>
    <row r="113" customFormat="false" ht="15.75" hidden="false" customHeight="false" outlineLevel="0" collapsed="false">
      <c r="A113" s="294"/>
      <c r="B113" s="294"/>
      <c r="C113" s="317" t="str">
        <f aca="false">HYPERLINK("https://phillipreeve.net/blog/user-guide-ultra-wideangle-lenses-sony-alpha-7-series/","Our Guide to Ultra-Wideangle lenses")</f>
        <v>Our Guide to Ultra-Wideangle lenses</v>
      </c>
      <c r="G113" s="302"/>
      <c r="H113" s="310"/>
      <c r="J113" s="298"/>
    </row>
    <row r="114" customFormat="false" ht="15.75" hidden="false" customHeight="false" outlineLevel="0" collapsed="false">
      <c r="A114" s="294"/>
      <c r="B114" s="294"/>
      <c r="C114" s="317" t="str">
        <f aca="false">HYPERLINK("https://phillipreeve.net/blog/wideangle-lenses-for-the-sony-alpha-7-series/","Our Guide to Wideangle lenses")</f>
        <v>Our Guide to Wideangle lenses</v>
      </c>
      <c r="G114" s="302"/>
      <c r="H114" s="310"/>
      <c r="J114" s="298"/>
    </row>
    <row r="115" customFormat="false" ht="15.75" hidden="false" customHeight="false" outlineLevel="0" collapsed="false">
      <c r="A115" s="303"/>
      <c r="B115" s="303"/>
      <c r="C115" s="317" t="str">
        <f aca="false">HYPERLINK("https://phillipreeve.net/blog/guide-to-macro-lenses-for-the-sony-a7-series/","Our Guide to Macro lenses")</f>
        <v>Our Guide to Macro lenses</v>
      </c>
      <c r="G115" s="302"/>
      <c r="H115" s="310"/>
      <c r="J115" s="298"/>
    </row>
    <row r="116" customFormat="false" ht="15.75" hidden="false" customHeight="false" outlineLevel="0" collapsed="false">
      <c r="A116" s="69"/>
      <c r="B116" s="69"/>
      <c r="C116" s="317" t="str">
        <f aca="false">HYPERLINK("https://phillipreeve.net/blog/user-guide-to-portrait-lenses-sony-a7-series/","Our Guide to Portrait lenses")</f>
        <v>Our Guide to Portrait lenses</v>
      </c>
      <c r="G116" s="302"/>
      <c r="H116" s="310"/>
      <c r="J116" s="298"/>
    </row>
    <row r="117" customFormat="false" ht="15.75" hidden="false" customHeight="false" outlineLevel="0" collapsed="false">
      <c r="A117" s="311"/>
      <c r="B117" s="311"/>
      <c r="C117" s="317" t="str">
        <f aca="false">HYPERLINK("https://phillipreeve.net/blog/building-a-lens-kit/","Building a lens kit")</f>
        <v>Building a lens kit</v>
      </c>
      <c r="G117" s="302"/>
      <c r="H117" s="310"/>
      <c r="J117" s="298"/>
    </row>
    <row r="118" customFormat="false" ht="15.75" hidden="false" customHeight="false" outlineLevel="0" collapsed="false">
      <c r="A118" s="294"/>
      <c r="B118" s="294"/>
      <c r="C118" s="69"/>
    </row>
    <row r="119" customFormat="false" ht="15.75" hidden="false" customHeight="false" outlineLevel="0" collapsed="false">
      <c r="A119" s="459"/>
      <c r="B119" s="459"/>
      <c r="C119" s="294" t="s">
        <v>186</v>
      </c>
    </row>
    <row r="120" customFormat="false" ht="15.75" hidden="false" customHeight="false" outlineLevel="0" collapsed="false">
      <c r="C120" s="69" t="s">
        <v>187</v>
      </c>
    </row>
    <row r="121" customFormat="false" ht="15.75" hidden="false" customHeight="false" outlineLevel="0" collapsed="false">
      <c r="A121" s="294"/>
      <c r="B121" s="294"/>
      <c r="C121" s="69" t="s">
        <v>188</v>
      </c>
    </row>
    <row r="122" customFormat="false" ht="15.75" hidden="false" customHeight="false" outlineLevel="0" collapsed="false">
      <c r="A122" s="69"/>
      <c r="B122" s="69"/>
      <c r="C122" s="69" t="s">
        <v>189</v>
      </c>
    </row>
    <row r="123" customFormat="false" ht="15.75" hidden="false" customHeight="false" outlineLevel="0" collapsed="false">
      <c r="A123" s="69"/>
      <c r="B123" s="69"/>
      <c r="C123" s="69" t="s">
        <v>190</v>
      </c>
    </row>
    <row r="124" customFormat="false" ht="15.75" hidden="false" customHeight="false" outlineLevel="0" collapsed="false">
      <c r="A124" s="69"/>
      <c r="B124" s="69"/>
      <c r="C124" s="294"/>
    </row>
    <row r="125" customFormat="false" ht="15.75" hidden="false" customHeight="false" outlineLevel="0" collapsed="false">
      <c r="A125" s="69"/>
      <c r="B125" s="69"/>
      <c r="C125" s="294" t="s">
        <v>191</v>
      </c>
    </row>
    <row r="126" customFormat="false" ht="15.75" hidden="false" customHeight="false" outlineLevel="0" collapsed="false">
      <c r="A126" s="69"/>
      <c r="B126" s="69"/>
      <c r="C126" s="69" t="s">
        <v>271</v>
      </c>
      <c r="F126" s="294"/>
    </row>
    <row r="127" customFormat="false" ht="15.75" hidden="false" customHeight="false" outlineLevel="0" collapsed="false">
      <c r="A127" s="69"/>
      <c r="B127" s="69"/>
      <c r="C127" s="69" t="s">
        <v>192</v>
      </c>
      <c r="F127" s="294"/>
    </row>
    <row r="128" customFormat="false" ht="15.75" hidden="false" customHeight="false" outlineLevel="0" collapsed="false">
      <c r="A128" s="69"/>
      <c r="B128" s="69"/>
    </row>
    <row r="129" customFormat="false" ht="15.75" hidden="false" customHeight="false" outlineLevel="0" collapsed="false">
      <c r="A129" s="69"/>
      <c r="B129" s="69"/>
      <c r="C129" s="317" t="str">
        <f aca="false">HYPERLINK("https://phillipreeve.net/blog/impressum/","Impressum")</f>
        <v>Impressum</v>
      </c>
    </row>
    <row r="130" customFormat="false" ht="15.75" hidden="false" customHeight="false" outlineLevel="0" collapsed="false">
      <c r="A130" s="294"/>
      <c r="B130" s="294"/>
    </row>
    <row r="131" customFormat="false" ht="15.75" hidden="false" customHeight="false" outlineLevel="0" collapsed="false">
      <c r="A131" s="69"/>
      <c r="B131" s="69"/>
    </row>
    <row r="132" customFormat="false" ht="15.75" hidden="false" customHeight="false" outlineLevel="0" collapsed="false">
      <c r="A132" s="69"/>
      <c r="B132" s="69"/>
    </row>
    <row r="133" customFormat="false" ht="15.75" hidden="false" customHeight="false" outlineLevel="0" collapsed="false">
      <c r="A133" s="69"/>
      <c r="B133" s="69"/>
    </row>
    <row r="134" customFormat="false" ht="15.75" hidden="false" customHeight="false" outlineLevel="0" collapsed="false">
      <c r="A134" s="69"/>
      <c r="B134" s="69"/>
    </row>
    <row r="135" customFormat="false" ht="15.75" hidden="false" customHeight="false" outlineLevel="0" collapsed="false">
      <c r="A135" s="294"/>
      <c r="B135" s="294"/>
      <c r="C135" s="294"/>
    </row>
    <row r="136" customFormat="false" ht="15.75" hidden="false" customHeight="false" outlineLevel="0" collapsed="false">
      <c r="A136" s="294"/>
      <c r="B136" s="294"/>
      <c r="C136" s="294"/>
    </row>
    <row r="137" customFormat="false" ht="15.75" hidden="false" customHeight="false" outlineLevel="0" collapsed="false">
      <c r="A137" s="69"/>
      <c r="B137" s="69"/>
      <c r="C137" s="294"/>
    </row>
    <row r="138" customFormat="false" ht="15.75" hidden="false" customHeight="false" outlineLevel="0" collapsed="false">
      <c r="A138" s="69"/>
      <c r="B138" s="69"/>
      <c r="C138" s="294"/>
    </row>
    <row r="139" customFormat="false" ht="15.75" hidden="false" customHeight="false" outlineLevel="0" collapsed="false">
      <c r="C139" s="294"/>
    </row>
    <row r="140" customFormat="false" ht="15.75" hidden="false" customHeight="false" outlineLevel="0" collapsed="false">
      <c r="A140" s="69"/>
      <c r="B140" s="69"/>
      <c r="C140" s="294"/>
    </row>
    <row r="141" customFormat="false" ht="15.75" hidden="false" customHeight="false" outlineLevel="0" collapsed="false">
      <c r="C141" s="294"/>
    </row>
    <row r="142" customFormat="false" ht="15.75" hidden="false" customHeight="false" outlineLevel="0" collapsed="false">
      <c r="C142" s="294"/>
    </row>
    <row r="143" customFormat="false" ht="15.75" hidden="false" customHeight="false" outlineLevel="0" collapsed="false">
      <c r="C143" s="294"/>
    </row>
    <row r="144" customFormat="false" ht="15.75" hidden="false" customHeight="false" outlineLevel="0" collapsed="false">
      <c r="C144" s="294"/>
    </row>
    <row r="145" customFormat="false" ht="15.75" hidden="false" customHeight="false" outlineLevel="0" collapsed="false">
      <c r="C145" s="294"/>
    </row>
    <row r="146" customFormat="false" ht="15.75" hidden="false" customHeight="false" outlineLevel="0" collapsed="false">
      <c r="A146" s="294"/>
      <c r="B146" s="294"/>
      <c r="C146" s="294"/>
    </row>
    <row r="147" customFormat="false" ht="15.75" hidden="false" customHeight="false" outlineLevel="0" collapsed="false">
      <c r="A147" s="294"/>
      <c r="B147" s="294"/>
      <c r="C147" s="294"/>
    </row>
    <row r="148" customFormat="false" ht="15.75" hidden="false" customHeight="false" outlineLevel="0" collapsed="false">
      <c r="A148" s="294"/>
      <c r="B148" s="294"/>
      <c r="C148" s="294"/>
    </row>
    <row r="149" customFormat="false" ht="15.75" hidden="false" customHeight="false" outlineLevel="0" collapsed="false">
      <c r="A149" s="294"/>
      <c r="B149" s="294"/>
      <c r="C149" s="294"/>
    </row>
    <row r="150" customFormat="false" ht="15.75" hidden="false" customHeight="false" outlineLevel="0" collapsed="false">
      <c r="A150" s="294"/>
      <c r="B150" s="294"/>
      <c r="C150" s="294"/>
    </row>
    <row r="151" customFormat="false" ht="15.75" hidden="false" customHeight="false" outlineLevel="0" collapsed="false">
      <c r="A151" s="294"/>
      <c r="B151" s="294"/>
      <c r="C151" s="294"/>
    </row>
    <row r="152" customFormat="false" ht="15.75" hidden="false" customHeight="false" outlineLevel="0" collapsed="false">
      <c r="A152" s="294"/>
      <c r="B152" s="294"/>
      <c r="C152" s="294"/>
    </row>
    <row r="153" customFormat="false" ht="15.75" hidden="false" customHeight="false" outlineLevel="0" collapsed="false">
      <c r="A153" s="294"/>
      <c r="B153" s="294"/>
      <c r="C153" s="294"/>
    </row>
    <row r="154" customFormat="false" ht="15.75" hidden="false" customHeight="false" outlineLevel="0" collapsed="false">
      <c r="A154" s="294"/>
      <c r="B154" s="294"/>
      <c r="C154" s="294"/>
    </row>
    <row r="155" customFormat="false" ht="15.75" hidden="false" customHeight="false" outlineLevel="0" collapsed="false">
      <c r="A155" s="294"/>
      <c r="B155" s="294"/>
      <c r="C155" s="294"/>
    </row>
    <row r="156" customFormat="false" ht="15.75" hidden="false" customHeight="false" outlineLevel="0" collapsed="false">
      <c r="A156" s="294"/>
      <c r="B156" s="294"/>
    </row>
    <row r="157" customFormat="false" ht="15.75" hidden="false" customHeight="false" outlineLevel="0" collapsed="false">
      <c r="A157" s="294"/>
      <c r="B157" s="294"/>
    </row>
    <row r="158" customFormat="false" ht="15.75" hidden="false" customHeight="false" outlineLevel="0" collapsed="false">
      <c r="A158" s="294"/>
      <c r="B158" s="294"/>
    </row>
    <row r="159" customFormat="false" ht="15.75" hidden="false" customHeight="false" outlineLevel="0" collapsed="false">
      <c r="A159" s="294"/>
      <c r="B159" s="294"/>
    </row>
    <row r="160" customFormat="false" ht="15.75" hidden="false" customHeight="false" outlineLevel="0" collapsed="false">
      <c r="A160" s="294"/>
      <c r="B160" s="294"/>
    </row>
    <row r="161" customFormat="false" ht="15.75" hidden="false" customHeight="false" outlineLevel="0" collapsed="false">
      <c r="A161" s="294"/>
      <c r="B161" s="294"/>
    </row>
    <row r="162" customFormat="false" ht="15.75" hidden="false" customHeight="false" outlineLevel="0" collapsed="false">
      <c r="A162" s="294"/>
      <c r="B162" s="294"/>
    </row>
    <row r="163" customFormat="false" ht="15.75" hidden="false" customHeight="false" outlineLevel="0" collapsed="false">
      <c r="A163" s="294"/>
      <c r="B163" s="294"/>
    </row>
    <row r="164" customFormat="false" ht="15.75" hidden="false" customHeight="false" outlineLevel="0" collapsed="false">
      <c r="A164" s="294"/>
      <c r="B164" s="294"/>
    </row>
    <row r="165" customFormat="false" ht="15.75" hidden="false" customHeight="false" outlineLevel="0" collapsed="false">
      <c r="A165" s="294"/>
      <c r="B165" s="294"/>
    </row>
    <row r="166" customFormat="false" ht="15.75" hidden="false" customHeight="false" outlineLevel="0" collapsed="false">
      <c r="A166" s="294"/>
      <c r="B166" s="294"/>
    </row>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row r="1020" customFormat="false" ht="15.75" hidden="false" customHeight="false" outlineLevel="0" collapsed="false"/>
    <row r="1021" customFormat="false" ht="15.75" hidden="false" customHeight="false" outlineLevel="0" collapsed="false"/>
    <row r="1022" customFormat="false" ht="15.75" hidden="false" customHeight="false" outlineLevel="0" collapsed="false"/>
    <row r="1023" customFormat="false" ht="15.75" hidden="false" customHeight="false" outlineLevel="0" collapsed="false"/>
    <row r="1024" customFormat="false" ht="15.75" hidden="false" customHeight="false" outlineLevel="0" collapsed="false"/>
    <row r="1025" customFormat="false" ht="15.75" hidden="false" customHeight="false" outlineLevel="0" collapsed="false"/>
    <row r="1026" customFormat="false" ht="15.75" hidden="false" customHeight="false" outlineLevel="0" collapsed="false"/>
    <row r="1027" customFormat="false" ht="15.75" hidden="false" customHeight="false" outlineLevel="0" collapsed="false"/>
    <row r="1028" customFormat="false" ht="15.75" hidden="false" customHeight="false" outlineLevel="0" collapsed="false"/>
    <row r="1029" customFormat="false" ht="15.75" hidden="false" customHeight="false" outlineLevel="0" collapsed="false"/>
    <row r="1030" customFormat="false" ht="15.75" hidden="false" customHeight="false" outlineLevel="0" collapsed="false"/>
    <row r="1031" customFormat="false" ht="15.75" hidden="false" customHeight="false" outlineLevel="0" collapsed="false"/>
    <row r="1032" customFormat="false" ht="15.75" hidden="false" customHeight="false" outlineLevel="0" collapsed="false"/>
    <row r="1033" customFormat="false" ht="15.75" hidden="false" customHeight="false" outlineLevel="0" collapsed="false"/>
    <row r="1034" customFormat="false" ht="15.75" hidden="false" customHeight="false" outlineLevel="0" collapsed="false"/>
    <row r="1035" customFormat="false" ht="15.75" hidden="false" customHeight="false" outlineLevel="0" collapsed="false"/>
    <row r="1036" customFormat="false" ht="15.75" hidden="false" customHeight="false" outlineLevel="0" collapsed="false"/>
    <row r="1037" customFormat="false" ht="15.75" hidden="false" customHeight="false" outlineLevel="0" collapsed="false"/>
    <row r="1038" customFormat="false" ht="15.75" hidden="false" customHeight="false" outlineLevel="0" collapsed="false"/>
    <row r="1039" customFormat="false" ht="15.75" hidden="false" customHeight="false" outlineLevel="0" collapsed="false"/>
    <row r="1040" customFormat="false" ht="15.75" hidden="false" customHeight="false" outlineLevel="0" collapsed="false"/>
    <row r="1041" customFormat="false" ht="15.75" hidden="false" customHeight="false" outlineLevel="0" collapsed="false"/>
    <row r="1042" customFormat="false" ht="15.75" hidden="false" customHeight="false" outlineLevel="0" collapsed="false"/>
    <row r="1043" customFormat="false" ht="15.75" hidden="false" customHeight="false" outlineLevel="0" collapsed="false"/>
    <row r="1044" customFormat="false" ht="15.75" hidden="false" customHeight="false" outlineLevel="0" collapsed="false"/>
    <row r="1045" customFormat="false" ht="15.75" hidden="false" customHeight="false" outlineLevel="0" collapsed="false"/>
    <row r="1046" customFormat="false" ht="15.75" hidden="false" customHeight="false" outlineLevel="0" collapsed="false"/>
    <row r="1047" customFormat="false" ht="15.75" hidden="false" customHeight="false" outlineLevel="0" collapsed="false"/>
    <row r="1048" customFormat="false" ht="15.75" hidden="false" customHeight="false" outlineLevel="0" collapsed="false"/>
    <row r="1049" customFormat="false" ht="15.75" hidden="false" customHeight="false" outlineLevel="0" collapsed="false"/>
    <row r="1050" customFormat="false" ht="15.75" hidden="false" customHeight="false" outlineLevel="0" collapsed="false"/>
    <row r="1051" customFormat="false" ht="15.75" hidden="false" customHeight="false" outlineLevel="0" collapsed="false"/>
    <row r="1052" customFormat="false" ht="15.75" hidden="false" customHeight="false" outlineLevel="0" collapsed="false"/>
    <row r="1053" customFormat="false" ht="15.75" hidden="false" customHeight="false" outlineLevel="0" collapsed="false"/>
    <row r="1054" customFormat="false" ht="15.75" hidden="false" customHeight="false" outlineLevel="0" collapsed="false"/>
    <row r="1055" customFormat="false" ht="15.75" hidden="false" customHeight="false" outlineLevel="0" collapsed="false"/>
    <row r="1056" customFormat="false" ht="15.75" hidden="false" customHeight="false" outlineLevel="0" collapsed="false"/>
    <row r="1057" customFormat="false" ht="15.75" hidden="false" customHeight="false" outlineLevel="0" collapsed="false"/>
    <row r="1058" customFormat="false" ht="15.75" hidden="false" customHeight="false" outlineLevel="0" collapsed="false"/>
    <row r="1059" customFormat="false" ht="15.75" hidden="false" customHeight="false" outlineLevel="0" collapsed="false"/>
    <row r="1060" customFormat="false" ht="15.75" hidden="false" customHeight="false" outlineLevel="0" collapsed="false"/>
    <row r="1061" customFormat="false" ht="15.75" hidden="false" customHeight="false" outlineLevel="0" collapsed="false"/>
    <row r="1062" customFormat="false" ht="15.75" hidden="false" customHeight="false" outlineLevel="0" collapsed="false"/>
    <row r="1063" customFormat="false" ht="15.75" hidden="false" customHeight="false" outlineLevel="0" collapsed="false"/>
    <row r="1064" customFormat="false" ht="15.75" hidden="false" customHeight="false" outlineLevel="0" collapsed="false"/>
    <row r="1065" customFormat="false" ht="15.75" hidden="false" customHeight="false" outlineLevel="0" collapsed="false"/>
    <row r="1066" customFormat="false" ht="15.75" hidden="false" customHeight="false" outlineLevel="0" collapsed="false"/>
    <row r="1067" customFormat="false" ht="15.75" hidden="false" customHeight="false" outlineLevel="0" collapsed="false"/>
    <row r="1068" customFormat="false" ht="15.75" hidden="false" customHeight="false" outlineLevel="0" collapsed="false"/>
    <row r="1069" customFormat="false" ht="15.75" hidden="false" customHeight="false" outlineLevel="0" collapsed="false"/>
    <row r="1070" customFormat="false" ht="15.75" hidden="false" customHeight="false" outlineLevel="0" collapsed="false"/>
    <row r="1071" customFormat="false" ht="15.75" hidden="false" customHeight="false" outlineLevel="0" collapsed="false"/>
    <row r="1072" customFormat="false" ht="15.75" hidden="false" customHeight="false" outlineLevel="0" collapsed="false"/>
    <row r="1073" customFormat="false" ht="15.75" hidden="false" customHeight="false" outlineLevel="0" collapsed="false"/>
    <row r="1074" customFormat="false" ht="15.75" hidden="false" customHeight="false" outlineLevel="0" collapsed="false"/>
    <row r="1075" customFormat="false" ht="15.75" hidden="false" customHeight="false" outlineLevel="0" collapsed="false"/>
    <row r="1076" customFormat="false" ht="15.75" hidden="false" customHeight="false" outlineLevel="0" collapsed="false"/>
  </sheetData>
  <autoFilter ref="X3:X1076"/>
  <conditionalFormatting sqref="C3:C101">
    <cfRule type="expression" priority="2" aboveAverage="0" equalAverage="0" bottom="0" percent="0" rank="0" text="" dxfId="12">
      <formula>(TODAY()-Q3)&lt;0</formula>
    </cfRule>
  </conditionalFormatting>
  <conditionalFormatting sqref="C3:C101">
    <cfRule type="expression" priority="3" aboveAverage="0" equalAverage="0" bottom="0" percent="0" rank="0" text="" dxfId="9">
      <formula>(TODAY()-Q3)&lt;180</formula>
    </cfRule>
  </conditionalFormatting>
  <conditionalFormatting sqref="D1:D1076">
    <cfRule type="cellIs" priority="4" operator="between" aboveAverage="0" equalAverage="0" bottom="0" percent="0" rank="0" text="" dxfId="2">
      <formula>50</formula>
      <formula>200</formula>
    </cfRule>
  </conditionalFormatting>
  <conditionalFormatting sqref="D1:D1076">
    <cfRule type="cellIs" priority="5" operator="between" aboveAverage="0" equalAverage="0" bottom="0" percent="0" rank="0" text="" dxfId="3">
      <formula>201</formula>
      <formula>400</formula>
    </cfRule>
  </conditionalFormatting>
  <conditionalFormatting sqref="D3:D1071">
    <cfRule type="cellIs" priority="6" operator="between" aboveAverage="0" equalAverage="0" bottom="0" percent="0" rank="0" text="" dxfId="4">
      <formula>401</formula>
      <formula>650</formula>
    </cfRule>
  </conditionalFormatting>
  <conditionalFormatting sqref="D3:D1071">
    <cfRule type="cellIs" priority="7" operator="between" aboveAverage="0" equalAverage="0" bottom="0" percent="0" rank="0" text="" dxfId="5">
      <formula>651</formula>
      <formula>900</formula>
    </cfRule>
  </conditionalFormatting>
  <conditionalFormatting sqref="D3:D1071">
    <cfRule type="cellIs" priority="8" operator="greaterThan" aboveAverage="0" equalAverage="0" bottom="0" percent="0" rank="0" text="" dxfId="6">
      <formula>900</formula>
    </cfRule>
  </conditionalFormatting>
  <conditionalFormatting sqref="M3:M1060 T5:T1071">
    <cfRule type="containsText" priority="9" operator="containsText" aboveAverage="0" equalAverage="0" bottom="0" percent="0" rank="0" text="yes" dxfId="7">
      <formula>NOT(ISERROR(SEARCH("yes",M3)))</formula>
    </cfRule>
  </conditionalFormatting>
  <conditionalFormatting sqref="H1:H1076">
    <cfRule type="colorScale" priority="10">
      <colorScale>
        <cfvo type="min" val="0"/>
        <cfvo type="formula" val="150"/>
        <color rgb="FFEAD1DC"/>
        <color rgb="FFA64D79"/>
      </colorScale>
    </cfRule>
  </conditionalFormatting>
  <conditionalFormatting sqref="F3:F84">
    <cfRule type="colorScale" priority="11">
      <colorScale>
        <cfvo type="formula" val="1.2"/>
        <cfvo type="formula" val="4"/>
        <color rgb="FF0B5394"/>
        <color rgb="FFFFFFFF"/>
      </colorScale>
    </cfRule>
  </conditionalFormatting>
  <conditionalFormatting sqref="G3:G84">
    <cfRule type="colorScale" priority="12">
      <colorScale>
        <cfvo type="formula" val="65"/>
        <cfvo type="formula" val="100"/>
        <color rgb="FFD9D2E9"/>
        <color rgb="FF674EA7"/>
      </colorScale>
    </cfRule>
  </conditionalFormatting>
  <conditionalFormatting sqref="F3:F84">
    <cfRule type="containsText" priority="13" operator="containsText" aboveAverage="0" equalAverage="0" bottom="0" percent="0" rank="0" text="1.2" dxfId="8">
      <formula>NOT(ISERROR(SEARCH("1.2",F3)))</formula>
    </cfRule>
  </conditionalFormatting>
  <conditionalFormatting sqref="F12 F14">
    <cfRule type="expression" priority="14" aboveAverage="0" equalAverage="0" bottom="0" percent="0" rank="0" text="" dxfId="9">
      <formula>LEN(TRIM(F12))&gt;0</formula>
    </cfRule>
  </conditionalFormatting>
  <conditionalFormatting sqref="F3:F84">
    <cfRule type="containsText" priority="15" operator="containsText" aboveAverage="0" equalAverage="0" bottom="0" percent="0" rank="0" text="1.4" dxfId="10">
      <formula>NOT(ISERROR(SEARCH("1.4",F3)))</formula>
    </cfRule>
  </conditionalFormatting>
  <conditionalFormatting sqref="F3:F103">
    <cfRule type="containsText" priority="16" operator="containsText" aboveAverage="0" equalAverage="0" bottom="0" percent="0" rank="0" text="1.8" dxfId="11">
      <formula>NOT(ISERROR(SEARCH("1.8",F3)))</formula>
    </cfRule>
  </conditionalFormatting>
  <conditionalFormatting sqref="C5:C102">
    <cfRule type="expression" priority="17" aboveAverage="0" equalAverage="0" bottom="0" percent="0" rank="0" text="" dxfId="12">
      <formula>(TODAY()-V5)&lt;0</formula>
    </cfRule>
  </conditionalFormatting>
  <conditionalFormatting sqref="C5:C102">
    <cfRule type="expression" priority="18" aboveAverage="0" equalAverage="0" bottom="0" percent="0" rank="0" text="" dxfId="9">
      <formula>(TODAY()-V5)&lt;180</formula>
    </cfRule>
  </conditionalFormatting>
  <conditionalFormatting sqref="I3:I114">
    <cfRule type="cellIs" priority="19" operator="equal" aboveAverage="0" equalAverage="0" bottom="0" percent="0" rank="0" text="" dxfId="12">
      <formula>"MF"</formula>
    </cfRule>
  </conditionalFormatting>
  <conditionalFormatting sqref="K3:K114">
    <cfRule type="cellIs" priority="20" operator="between" aboveAverage="0" equalAverage="0" bottom="0" percent="0" rank="0" text="" dxfId="13">
      <formula>0.24</formula>
      <formula>0.45</formula>
    </cfRule>
  </conditionalFormatting>
  <conditionalFormatting sqref="K3:K114">
    <cfRule type="cellIs" priority="21" operator="between" aboveAverage="0" equalAverage="0" bottom="0" percent="0" rank="0" text="" dxfId="14">
      <formula>0.45</formula>
      <formula>0.99</formula>
    </cfRule>
  </conditionalFormatting>
  <conditionalFormatting sqref="K3:K114">
    <cfRule type="cellIs" priority="22" operator="greaterThan" aboveAverage="0" equalAverage="0" bottom="0" percent="0" rank="0" text="" dxfId="15">
      <formula>0.99</formula>
    </cfRule>
  </conditionalFormatting>
  <conditionalFormatting sqref="N5:N84">
    <cfRule type="cellIs" priority="23" operator="lessThan" aboveAverage="0" equalAverage="0" bottom="0" percent="0" rank="0" text="" dxfId="9">
      <formula>"25%"</formula>
    </cfRule>
  </conditionalFormatting>
  <conditionalFormatting sqref="N5:N84">
    <cfRule type="cellIs" priority="24" operator="between" aboveAverage="0" equalAverage="0" bottom="0" percent="0" rank="0" text="" dxfId="18">
      <formula>"25%"</formula>
      <formula>"45%"</formula>
    </cfRule>
  </conditionalFormatting>
  <conditionalFormatting sqref="N5:N84">
    <cfRule type="cellIs" priority="25" operator="greaterThan" aboveAverage="0" equalAverage="0" bottom="0" percent="0" rank="0" text="" dxfId="19">
      <formula>"45%"</formula>
    </cfRule>
  </conditionalFormatting>
  <dataValidations count="1">
    <dataValidation allowBlank="true" errorStyle="stop" operator="between" showDropDown="false" showErrorMessage="false" showInputMessage="false" sqref="P3:P83" type="list">
      <formula1>"Sony,Voigtlander,Zeiss,Sigma,Samyang,Viltrox,Tokina,Tamron"</formula1>
      <formula2>0</formula2>
    </dataValidation>
  </dataValidations>
  <hyperlinks>
    <hyperlink ref="T1" r:id="rId1" display="Amazon.com"/>
    <hyperlink ref="V1" r:id="rId2" display="Amazon.de"/>
    <hyperlink ref="W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1"/>
  <cols>
    <col collapsed="false" customWidth="true" hidden="false" outlineLevel="0" max="2" min="1" style="0" width="3.5"/>
    <col collapsed="false" customWidth="true" hidden="false" outlineLevel="0" max="3" min="3" style="0" width="25.51"/>
    <col collapsed="false" customWidth="true" hidden="false" outlineLevel="0" max="4" min="4" style="0" width="9"/>
    <col collapsed="false" customWidth="true" hidden="false" outlineLevel="0" max="5" min="5" style="0" width="8.25"/>
    <col collapsed="false" customWidth="true" hidden="false" outlineLevel="0" max="6" min="6" style="0" width="7.88"/>
    <col collapsed="false" customWidth="true" hidden="false" outlineLevel="0" max="8" min="7" style="0" width="6.38"/>
    <col collapsed="false" customWidth="true" hidden="false" outlineLevel="0" max="9" min="9" style="0" width="3.5"/>
    <col collapsed="false" customWidth="true" hidden="false" outlineLevel="0" max="10" min="10" style="0" width="6.25"/>
    <col collapsed="false" customWidth="true" hidden="false" outlineLevel="0" max="11" min="11" style="0" width="3.88"/>
    <col collapsed="false" customWidth="true" hidden="false" outlineLevel="0" max="13" min="12" style="0" width="8.25"/>
    <col collapsed="false" customWidth="true" hidden="true" outlineLevel="0" max="16" min="14" style="0" width="3.5"/>
    <col collapsed="false" customWidth="true" hidden="true" outlineLevel="1" max="17" min="17" style="0" width="3.5"/>
    <col collapsed="false" customWidth="true" hidden="false" outlineLevel="0" max="18" min="18" style="0" width="6.63"/>
    <col collapsed="false" customWidth="true" hidden="false" outlineLevel="0" max="19" min="19" style="0" width="4.75"/>
    <col collapsed="false" customWidth="true" hidden="false" outlineLevel="0" max="20" min="20" style="0" width="4.38"/>
    <col collapsed="false" customWidth="true" hidden="true" outlineLevel="0" max="21" min="21" style="0" width="5.38"/>
    <col collapsed="false" customWidth="true" hidden="false" outlineLevel="0" max="22" min="22" style="0" width="11.63"/>
    <col collapsed="false" customWidth="true" hidden="false" outlineLevel="0" max="23" min="23" style="0" width="6.51"/>
    <col collapsed="false" customWidth="false" hidden="true" outlineLevel="0" max="24" min="24" style="0" width="12.63"/>
  </cols>
  <sheetData>
    <row r="1" customFormat="false" ht="76.5" hidden="false" customHeight="true" outlineLevel="0" collapsed="false">
      <c r="A1" s="453"/>
      <c r="B1" s="453"/>
      <c r="C1" s="460" t="s">
        <v>0</v>
      </c>
      <c r="D1" s="2" t="s">
        <v>1</v>
      </c>
      <c r="E1" s="3" t="s">
        <v>2</v>
      </c>
      <c r="F1" s="4" t="s">
        <v>3</v>
      </c>
      <c r="G1" s="5" t="s">
        <v>4</v>
      </c>
      <c r="H1" s="6" t="s">
        <v>5</v>
      </c>
      <c r="I1" s="7" t="s">
        <v>6</v>
      </c>
      <c r="J1" s="8" t="s">
        <v>7</v>
      </c>
      <c r="K1" s="3" t="s">
        <v>8</v>
      </c>
      <c r="L1" s="3" t="s">
        <v>9</v>
      </c>
      <c r="M1" s="10" t="s">
        <v>10</v>
      </c>
      <c r="N1" s="3" t="s">
        <v>11</v>
      </c>
      <c r="O1" s="3" t="s">
        <v>12</v>
      </c>
      <c r="P1" s="3" t="s">
        <v>13</v>
      </c>
      <c r="Q1" s="3" t="s">
        <v>14</v>
      </c>
      <c r="R1" s="14" t="s">
        <v>15</v>
      </c>
      <c r="S1" s="14" t="s">
        <v>276</v>
      </c>
      <c r="T1" s="461" t="s">
        <v>11</v>
      </c>
      <c r="U1" s="461" t="s">
        <v>12</v>
      </c>
      <c r="V1" s="461" t="s">
        <v>13</v>
      </c>
      <c r="W1" s="462" t="s">
        <v>14</v>
      </c>
      <c r="X1" s="19" t="s">
        <v>21</v>
      </c>
    </row>
    <row r="2" customFormat="false" ht="18" hidden="false" customHeight="true" outlineLevel="0" collapsed="false">
      <c r="A2" s="20"/>
      <c r="B2" s="20"/>
      <c r="C2" s="463" t="s">
        <v>287</v>
      </c>
      <c r="D2" s="464"/>
      <c r="E2" s="464"/>
      <c r="F2" s="464"/>
      <c r="G2" s="464"/>
      <c r="H2" s="464"/>
      <c r="I2" s="464"/>
      <c r="J2" s="465"/>
      <c r="K2" s="464"/>
      <c r="L2" s="464"/>
      <c r="M2" s="464"/>
      <c r="N2" s="464"/>
      <c r="O2" s="464"/>
      <c r="P2" s="464"/>
      <c r="Q2" s="464"/>
      <c r="R2" s="464"/>
      <c r="S2" s="464"/>
      <c r="T2" s="464"/>
      <c r="U2" s="464"/>
      <c r="V2" s="466"/>
      <c r="W2" s="467"/>
    </row>
    <row r="3" customFormat="false" ht="15.75" hidden="false" customHeight="false" outlineLevel="0" collapsed="false">
      <c r="A3" s="458"/>
      <c r="B3" s="468" t="b">
        <f aca="false">IFERROR(__xludf.dummyfunction("Query(Beta!B5:W102, ""where B = TRUE"")"),TRUE())</f>
        <v>1</v>
      </c>
      <c r="C3" s="469" t="str">
        <f aca="false">IFERROR(__xludf.dummyfunction("""COMPUTED_VALUE"""),"Voigtlander 50mm F2 APO-Lanthar")</f>
        <v>Voigtlander 50mm F2 APO-Lanthar</v>
      </c>
      <c r="D3" s="295" t="n">
        <f aca="false">IFERROR(__xludf.dummyfunction("""COMPUTED_VALUE"""),364)</f>
        <v>364</v>
      </c>
      <c r="E3" s="296" t="n">
        <f aca="false">IFERROR(__xludf.dummyfunction("""COMPUTED_VALUE"""),50)</f>
        <v>50</v>
      </c>
      <c r="F3" s="470" t="n">
        <f aca="false">IFERROR(__xludf.dummyfunction("""COMPUTED_VALUE"""),2)</f>
        <v>2</v>
      </c>
      <c r="G3" s="296" t="n">
        <f aca="false">IFERROR(__xludf.dummyfunction("""COMPUTED_VALUE"""),63)</f>
        <v>63</v>
      </c>
      <c r="H3" s="296" t="n">
        <f aca="false">IFERROR(__xludf.dummyfunction("""COMPUTED_VALUE"""),61)</f>
        <v>61</v>
      </c>
      <c r="I3" s="471" t="str">
        <f aca="false">IFERROR(__xludf.dummyfunction("""COMPUTED_VALUE"""),"MF")</f>
        <v>MF</v>
      </c>
      <c r="J3" s="298" t="str">
        <f aca="false">IFERROR(__xludf.dummyfunction("""COMPUTED_VALUE"""),"49mm")</f>
        <v>49mm</v>
      </c>
      <c r="K3" s="69"/>
      <c r="L3" s="300" t="n">
        <f aca="false">IFERROR(__xludf.dummyfunction("""COMPUTED_VALUE"""),45)</f>
        <v>45</v>
      </c>
      <c r="M3" s="300" t="str">
        <f aca="false">IFERROR(__xludf.dummyfunction("""COMPUTED_VALUE"""),"no")</f>
        <v>no</v>
      </c>
      <c r="N3" s="301" t="n">
        <f aca="false">IFERROR(__xludf.dummyfunction("""COMPUTED_VALUE"""),12)</f>
        <v>12</v>
      </c>
      <c r="O3" s="472" t="n">
        <f aca="false">IFERROR(__xludf.dummyfunction("""COMPUTED_VALUE"""),43687)</f>
        <v>43687</v>
      </c>
      <c r="P3" s="301" t="str">
        <f aca="false">IFERROR(__xludf.dummyfunction("""COMPUTED_VALUE"""),"Voigtlander")</f>
        <v>Voigtlander</v>
      </c>
      <c r="Q3" s="473" t="n">
        <f aca="false">IFERROR(__xludf.dummyfunction("""COMPUTED_VALUE"""),43831)</f>
        <v>43831</v>
      </c>
      <c r="R3" s="299"/>
      <c r="S3" s="471"/>
      <c r="T3" s="69"/>
      <c r="U3" s="474"/>
      <c r="V3" s="69"/>
      <c r="W3" s="475"/>
      <c r="X3" s="69" t="s">
        <v>282</v>
      </c>
    </row>
    <row r="4" customFormat="false" ht="15.75" hidden="false" customHeight="false" outlineLevel="0" collapsed="false">
      <c r="A4" s="476"/>
      <c r="B4" s="476"/>
      <c r="C4" s="469"/>
      <c r="D4" s="295"/>
      <c r="E4" s="296"/>
      <c r="F4" s="470"/>
      <c r="G4" s="477"/>
      <c r="H4" s="296"/>
      <c r="I4" s="471"/>
      <c r="J4" s="298"/>
      <c r="K4" s="69"/>
      <c r="L4" s="300"/>
      <c r="M4" s="300"/>
      <c r="N4" s="301"/>
      <c r="O4" s="301"/>
      <c r="P4" s="301"/>
      <c r="Q4" s="301"/>
      <c r="R4" s="299"/>
      <c r="S4" s="471"/>
      <c r="T4" s="69"/>
      <c r="U4" s="474"/>
      <c r="V4" s="69"/>
      <c r="W4" s="475"/>
    </row>
    <row r="5" customFormat="false" ht="15.75" hidden="false" customHeight="false" outlineLevel="0" collapsed="false">
      <c r="A5" s="476"/>
      <c r="B5" s="476"/>
      <c r="C5" s="469"/>
      <c r="D5" s="295"/>
      <c r="E5" s="296"/>
      <c r="F5" s="470"/>
      <c r="G5" s="477"/>
      <c r="H5" s="296"/>
      <c r="I5" s="471"/>
      <c r="J5" s="298"/>
      <c r="K5" s="69"/>
      <c r="L5" s="300"/>
      <c r="M5" s="300"/>
      <c r="N5" s="301"/>
      <c r="O5" s="301"/>
      <c r="P5" s="301"/>
      <c r="Q5" s="301"/>
      <c r="R5" s="299"/>
      <c r="S5" s="471"/>
      <c r="T5" s="69"/>
      <c r="U5" s="474"/>
      <c r="V5" s="69"/>
      <c r="W5" s="475"/>
      <c r="X5" s="69" t="s">
        <v>39</v>
      </c>
    </row>
    <row r="6" customFormat="false" ht="15.75" hidden="false" customHeight="false" outlineLevel="0" collapsed="false">
      <c r="A6" s="476"/>
      <c r="B6" s="476"/>
      <c r="C6" s="469"/>
      <c r="D6" s="295"/>
      <c r="E6" s="296"/>
      <c r="F6" s="470"/>
      <c r="G6" s="477"/>
      <c r="H6" s="296"/>
      <c r="I6" s="69"/>
      <c r="J6" s="298"/>
      <c r="K6" s="69"/>
      <c r="L6" s="300"/>
      <c r="M6" s="300"/>
      <c r="N6" s="301"/>
      <c r="O6" s="301"/>
      <c r="P6" s="301"/>
      <c r="Q6" s="301"/>
      <c r="R6" s="299"/>
      <c r="S6" s="471"/>
      <c r="T6" s="69"/>
      <c r="U6" s="478"/>
      <c r="V6" s="69"/>
      <c r="W6" s="475"/>
      <c r="X6" s="69" t="s">
        <v>260</v>
      </c>
    </row>
    <row r="7" customFormat="false" ht="15.75" hidden="false" customHeight="false" outlineLevel="0" collapsed="false">
      <c r="A7" s="476"/>
      <c r="B7" s="476"/>
      <c r="C7" s="469"/>
      <c r="D7" s="295"/>
      <c r="E7" s="296"/>
      <c r="F7" s="470"/>
      <c r="G7" s="477"/>
      <c r="H7" s="296"/>
      <c r="I7" s="69"/>
      <c r="J7" s="298"/>
      <c r="K7" s="69"/>
      <c r="L7" s="300"/>
      <c r="M7" s="300"/>
      <c r="N7" s="301"/>
      <c r="O7" s="301"/>
      <c r="P7" s="301"/>
      <c r="Q7" s="301"/>
      <c r="R7" s="299"/>
      <c r="S7" s="471"/>
      <c r="T7" s="69"/>
      <c r="U7" s="479"/>
      <c r="V7" s="69"/>
      <c r="W7" s="475"/>
      <c r="X7" s="69" t="s">
        <v>37</v>
      </c>
    </row>
    <row r="8" customFormat="false" ht="15.75" hidden="false" customHeight="false" outlineLevel="0" collapsed="false">
      <c r="A8" s="476"/>
      <c r="B8" s="476"/>
      <c r="C8" s="469"/>
      <c r="D8" s="295"/>
      <c r="E8" s="296"/>
      <c r="F8" s="470"/>
      <c r="G8" s="477"/>
      <c r="H8" s="296"/>
      <c r="I8" s="69"/>
      <c r="J8" s="298"/>
      <c r="K8" s="69"/>
      <c r="L8" s="300"/>
      <c r="M8" s="300"/>
      <c r="N8" s="301"/>
      <c r="O8" s="301"/>
      <c r="P8" s="301"/>
      <c r="Q8" s="301"/>
      <c r="R8" s="299"/>
      <c r="S8" s="471"/>
      <c r="T8" s="69"/>
      <c r="U8" s="478"/>
      <c r="V8" s="69"/>
      <c r="W8" s="475"/>
    </row>
    <row r="9" customFormat="false" ht="15.75" hidden="false" customHeight="false" outlineLevel="0" collapsed="false">
      <c r="A9" s="476"/>
      <c r="B9" s="476"/>
      <c r="C9" s="469"/>
      <c r="D9" s="295"/>
      <c r="E9" s="296"/>
      <c r="F9" s="470"/>
      <c r="G9" s="477"/>
      <c r="H9" s="296"/>
      <c r="I9" s="471"/>
      <c r="J9" s="298"/>
      <c r="K9" s="69"/>
      <c r="L9" s="300"/>
      <c r="M9" s="300"/>
      <c r="N9" s="301"/>
      <c r="O9" s="301"/>
      <c r="P9" s="301"/>
      <c r="Q9" s="301"/>
      <c r="R9" s="299"/>
      <c r="S9" s="471"/>
      <c r="T9" s="69"/>
      <c r="U9" s="474"/>
      <c r="V9" s="69"/>
      <c r="W9" s="475"/>
    </row>
    <row r="10" customFormat="false" ht="15.75" hidden="false" customHeight="false" outlineLevel="0" collapsed="false">
      <c r="A10" s="476"/>
      <c r="B10" s="476"/>
      <c r="C10" s="480"/>
      <c r="D10" s="481"/>
      <c r="E10" s="482"/>
      <c r="F10" s="483"/>
      <c r="G10" s="484"/>
      <c r="H10" s="482"/>
      <c r="I10" s="485"/>
      <c r="J10" s="486"/>
      <c r="K10" s="332"/>
      <c r="L10" s="487"/>
      <c r="M10" s="487"/>
      <c r="N10" s="488"/>
      <c r="O10" s="488"/>
      <c r="P10" s="488"/>
      <c r="Q10" s="488"/>
      <c r="R10" s="489"/>
      <c r="S10" s="485"/>
      <c r="T10" s="332"/>
      <c r="U10" s="490"/>
      <c r="V10" s="332"/>
      <c r="W10" s="491"/>
    </row>
    <row r="11" customFormat="false" ht="15.75" hidden="false" customHeight="true" outlineLevel="0" collapsed="false">
      <c r="A11" s="476"/>
      <c r="B11" s="476"/>
      <c r="E11" s="492"/>
      <c r="F11" s="251"/>
      <c r="G11" s="493"/>
      <c r="H11" s="492"/>
      <c r="I11" s="224"/>
      <c r="J11" s="252"/>
      <c r="K11" s="224"/>
      <c r="L11" s="136"/>
      <c r="M11" s="136"/>
      <c r="N11" s="229"/>
      <c r="O11" s="229"/>
      <c r="P11" s="229"/>
      <c r="Q11" s="229"/>
      <c r="R11" s="225"/>
      <c r="S11" s="226"/>
      <c r="T11" s="224"/>
      <c r="U11" s="227"/>
      <c r="V11" s="224"/>
      <c r="W11" s="235"/>
      <c r="X11" s="69" t="s">
        <v>260</v>
      </c>
    </row>
    <row r="12" customFormat="false" ht="9.75" hidden="false" customHeight="true" outlineLevel="0" collapsed="false">
      <c r="A12" s="476"/>
      <c r="B12" s="476"/>
      <c r="C12" s="294"/>
      <c r="D12" s="295"/>
      <c r="E12" s="59"/>
      <c r="F12" s="57"/>
      <c r="G12" s="494"/>
      <c r="H12" s="197"/>
      <c r="I12" s="60"/>
      <c r="J12" s="61"/>
      <c r="K12" s="62"/>
      <c r="L12" s="66"/>
      <c r="M12" s="66"/>
      <c r="N12" s="67"/>
      <c r="O12" s="67"/>
      <c r="P12" s="67"/>
      <c r="Q12" s="67"/>
      <c r="R12" s="63"/>
      <c r="S12" s="60"/>
      <c r="T12" s="62"/>
      <c r="U12" s="64"/>
      <c r="V12" s="62"/>
      <c r="W12" s="495"/>
    </row>
    <row r="13" customFormat="false" ht="15.75" hidden="false" customHeight="false" outlineLevel="0" collapsed="false">
      <c r="A13" s="476"/>
      <c r="B13" s="476"/>
      <c r="C13" s="496" t="s">
        <v>288</v>
      </c>
      <c r="D13" s="497"/>
      <c r="E13" s="498"/>
      <c r="F13" s="499"/>
      <c r="G13" s="500"/>
      <c r="H13" s="501"/>
      <c r="I13" s="502"/>
      <c r="J13" s="503"/>
      <c r="K13" s="504"/>
      <c r="L13" s="505"/>
      <c r="M13" s="505"/>
      <c r="N13" s="506"/>
      <c r="O13" s="506"/>
      <c r="P13" s="506"/>
      <c r="Q13" s="506"/>
      <c r="R13" s="507"/>
      <c r="S13" s="502"/>
      <c r="T13" s="504"/>
      <c r="U13" s="508"/>
      <c r="V13" s="504"/>
      <c r="W13" s="509"/>
    </row>
    <row r="14" customFormat="false" ht="15.75" hidden="false" customHeight="false" outlineLevel="0" collapsed="false">
      <c r="A14" s="468" t="b">
        <f aca="false">IFERROR(__xludf.dummyfunction("Query(Beta!A5:W102, ""where A = TRUE"")"),TRUE())</f>
        <v>1</v>
      </c>
      <c r="B14" s="468" t="b">
        <f aca="false">IFERROR(__xludf.dummyfunction("""COMPUTED_VALUE"""),FALSE())</f>
        <v>0</v>
      </c>
      <c r="C14" s="469" t="str">
        <f aca="false">IFERROR(__xludf.dummyfunction("""COMPUTED_VALUE"""),"Zeiss Loxia 50mm F2")</f>
        <v>Zeiss Loxia 50mm F2</v>
      </c>
      <c r="D14" s="295" t="n">
        <f aca="false">IFERROR(__xludf.dummyfunction("""COMPUTED_VALUE"""),320)</f>
        <v>320</v>
      </c>
      <c r="E14" s="296" t="n">
        <f aca="false">IFERROR(__xludf.dummyfunction("""COMPUTED_VALUE"""),50)</f>
        <v>50</v>
      </c>
      <c r="F14" s="470" t="n">
        <f aca="false">IFERROR(__xludf.dummyfunction("""COMPUTED_VALUE"""),2)</f>
        <v>2</v>
      </c>
      <c r="G14" s="510" t="n">
        <f aca="false">IFERROR(__xludf.dummyfunction("""COMPUTED_VALUE"""),62)</f>
        <v>62</v>
      </c>
      <c r="H14" s="302" t="n">
        <f aca="false">IFERROR(__xludf.dummyfunction("""COMPUTED_VALUE"""),60)</f>
        <v>60</v>
      </c>
      <c r="I14" s="471" t="str">
        <f aca="false">IFERROR(__xludf.dummyfunction("""COMPUTED_VALUE"""),"MF")</f>
        <v>MF</v>
      </c>
      <c r="J14" s="298" t="str">
        <f aca="false">IFERROR(__xludf.dummyfunction("""COMPUTED_VALUE"""),"52mm")</f>
        <v>52mm</v>
      </c>
      <c r="K14" s="69" t="n">
        <f aca="false">IFERROR(__xludf.dummyfunction("""COMPUTED_VALUE"""),0.15)</f>
        <v>0.15</v>
      </c>
      <c r="L14" s="300" t="n">
        <f aca="false">IFERROR(__xludf.dummyfunction("""COMPUTED_VALUE"""),45)</f>
        <v>45</v>
      </c>
      <c r="M14" s="300" t="str">
        <f aca="false">IFERROR(__xludf.dummyfunction("""COMPUTED_VALUE"""),"no")</f>
        <v>no</v>
      </c>
      <c r="N14" s="301" t="n">
        <f aca="false">IFERROR(__xludf.dummyfunction("""COMPUTED_VALUE"""),10)</f>
        <v>10</v>
      </c>
      <c r="O14" s="472" t="n">
        <f aca="false">IFERROR(__xludf.dummyfunction("""COMPUTED_VALUE"""),43561)</f>
        <v>43561</v>
      </c>
      <c r="P14" s="301" t="str">
        <f aca="false">IFERROR(__xludf.dummyfunction("""COMPUTED_VALUE"""),"Zeiss")</f>
        <v>Zeiss</v>
      </c>
      <c r="Q14" s="473" t="n">
        <f aca="false">IFERROR(__xludf.dummyfunction("""COMPUTED_VALUE"""),41913)</f>
        <v>41913</v>
      </c>
      <c r="R14" s="299" t="n">
        <f aca="false">IFERROR(__xludf.dummyfunction("""COMPUTED_VALUE"""),949)</f>
        <v>949</v>
      </c>
      <c r="S14" s="471" t="n">
        <f aca="false">IFERROR(__xludf.dummyfunction("""COMPUTED_VALUE"""),500)</f>
        <v>500</v>
      </c>
      <c r="T14" s="69" t="str">
        <f aca="false">IFERROR(__xludf.dummyfunction("""COMPUTED_VALUE"""),"link*")</f>
        <v>link*</v>
      </c>
      <c r="U14" s="474" t="str">
        <f aca="false">IFERROR(__xludf.dummyfunction("""COMPUTED_VALUE"""),"link*")</f>
        <v>link*</v>
      </c>
      <c r="V14" s="69" t="str">
        <f aca="false">IFERROR(__xludf.dummyfunction("""COMPUTED_VALUE"""),"link*")</f>
        <v>link*</v>
      </c>
      <c r="W14" s="475" t="str">
        <f aca="false">IFERROR(__xludf.dummyfunction("""COMPUTED_VALUE"""),"link*")</f>
        <v>link*</v>
      </c>
    </row>
    <row r="15" customFormat="false" ht="15.75" hidden="false" customHeight="false" outlineLevel="0" collapsed="false">
      <c r="A15" s="476"/>
      <c r="B15" s="476"/>
      <c r="C15" s="469"/>
      <c r="D15" s="295"/>
      <c r="E15" s="296"/>
      <c r="F15" s="470"/>
      <c r="G15" s="510"/>
      <c r="H15" s="302"/>
      <c r="I15" s="471"/>
      <c r="J15" s="298"/>
      <c r="K15" s="69"/>
      <c r="L15" s="300"/>
      <c r="M15" s="300"/>
      <c r="N15" s="301"/>
      <c r="O15" s="301"/>
      <c r="P15" s="301"/>
      <c r="Q15" s="301"/>
      <c r="R15" s="299"/>
      <c r="S15" s="471"/>
      <c r="T15" s="69"/>
      <c r="U15" s="474"/>
      <c r="V15" s="69"/>
      <c r="W15" s="475"/>
    </row>
    <row r="16" customFormat="false" ht="15.75" hidden="false" customHeight="false" outlineLevel="0" collapsed="false">
      <c r="A16" s="476"/>
      <c r="B16" s="476"/>
      <c r="C16" s="469"/>
      <c r="D16" s="295"/>
      <c r="E16" s="296"/>
      <c r="F16" s="470"/>
      <c r="G16" s="510"/>
      <c r="H16" s="302"/>
      <c r="I16" s="471"/>
      <c r="J16" s="298"/>
      <c r="L16" s="300"/>
      <c r="M16" s="300"/>
      <c r="N16" s="301"/>
      <c r="O16" s="301"/>
      <c r="P16" s="301"/>
      <c r="Q16" s="301"/>
      <c r="R16" s="299"/>
      <c r="S16" s="471"/>
      <c r="T16" s="69"/>
      <c r="U16" s="474"/>
      <c r="V16" s="69"/>
    </row>
    <row r="17" customFormat="false" ht="15.75" hidden="false" customHeight="false" outlineLevel="0" collapsed="false">
      <c r="A17" s="476"/>
      <c r="B17" s="476"/>
      <c r="C17" s="469"/>
      <c r="D17" s="295"/>
      <c r="E17" s="296"/>
      <c r="F17" s="470"/>
      <c r="G17" s="510"/>
      <c r="H17" s="302"/>
      <c r="I17" s="471"/>
      <c r="J17" s="298"/>
      <c r="K17" s="69"/>
      <c r="L17" s="300"/>
      <c r="M17" s="300"/>
      <c r="N17" s="301"/>
      <c r="O17" s="301"/>
      <c r="P17" s="301"/>
      <c r="Q17" s="301"/>
      <c r="R17" s="299"/>
      <c r="S17" s="471"/>
      <c r="T17" s="69"/>
      <c r="U17" s="474"/>
      <c r="V17" s="69"/>
      <c r="W17" s="475"/>
    </row>
    <row r="18" customFormat="false" ht="15.75" hidden="false" customHeight="false" outlineLevel="0" collapsed="false">
      <c r="A18" s="476"/>
      <c r="B18" s="476"/>
      <c r="C18" s="469"/>
      <c r="D18" s="295"/>
      <c r="E18" s="296"/>
      <c r="F18" s="470"/>
      <c r="G18" s="510"/>
      <c r="H18" s="302"/>
      <c r="I18" s="69"/>
      <c r="J18" s="298"/>
      <c r="K18" s="69"/>
      <c r="L18" s="300"/>
      <c r="M18" s="300"/>
      <c r="N18" s="301"/>
      <c r="O18" s="301"/>
      <c r="P18" s="301"/>
      <c r="Q18" s="301"/>
      <c r="R18" s="299"/>
      <c r="S18" s="471"/>
      <c r="T18" s="69"/>
      <c r="U18" s="478"/>
      <c r="V18" s="69"/>
      <c r="W18" s="475"/>
      <c r="X18" s="69" t="s">
        <v>260</v>
      </c>
    </row>
    <row r="19" customFormat="false" ht="15.75" hidden="false" customHeight="false" outlineLevel="0" collapsed="false">
      <c r="A19" s="476"/>
      <c r="B19" s="476"/>
      <c r="C19" s="469"/>
      <c r="D19" s="295"/>
      <c r="E19" s="296"/>
      <c r="F19" s="470"/>
      <c r="G19" s="510"/>
      <c r="H19" s="302"/>
      <c r="I19" s="471"/>
      <c r="J19" s="298"/>
      <c r="K19" s="69"/>
      <c r="L19" s="300"/>
      <c r="M19" s="300"/>
      <c r="N19" s="301"/>
      <c r="O19" s="301"/>
      <c r="P19" s="301"/>
      <c r="Q19" s="301"/>
      <c r="R19" s="299"/>
      <c r="S19" s="471"/>
      <c r="T19" s="69"/>
      <c r="U19" s="474"/>
      <c r="V19" s="69"/>
      <c r="W19" s="475"/>
    </row>
    <row r="20" customFormat="false" ht="15.75" hidden="false" customHeight="false" outlineLevel="0" collapsed="false">
      <c r="A20" s="476"/>
      <c r="B20" s="476"/>
      <c r="C20" s="469"/>
      <c r="D20" s="295"/>
      <c r="E20" s="296"/>
      <c r="F20" s="470"/>
      <c r="G20" s="510"/>
      <c r="H20" s="302"/>
      <c r="I20" s="471"/>
      <c r="J20" s="298"/>
      <c r="K20" s="69"/>
      <c r="L20" s="300"/>
      <c r="M20" s="300"/>
      <c r="N20" s="301"/>
      <c r="O20" s="301"/>
      <c r="P20" s="301"/>
      <c r="Q20" s="301"/>
      <c r="R20" s="299"/>
      <c r="S20" s="69"/>
      <c r="T20" s="69"/>
      <c r="U20" s="474"/>
      <c r="V20" s="69"/>
      <c r="W20" s="475"/>
    </row>
    <row r="21" customFormat="false" ht="15.75" hidden="false" customHeight="false" outlineLevel="0" collapsed="false">
      <c r="A21" s="476"/>
      <c r="B21" s="476"/>
      <c r="C21" s="480"/>
      <c r="D21" s="481"/>
      <c r="E21" s="482"/>
      <c r="F21" s="483"/>
      <c r="G21" s="511"/>
      <c r="H21" s="512"/>
      <c r="I21" s="485"/>
      <c r="J21" s="486"/>
      <c r="K21" s="332"/>
      <c r="L21" s="487"/>
      <c r="M21" s="487"/>
      <c r="N21" s="488"/>
      <c r="O21" s="488"/>
      <c r="P21" s="488"/>
      <c r="Q21" s="488"/>
      <c r="R21" s="489"/>
      <c r="S21" s="485"/>
      <c r="T21" s="332"/>
      <c r="U21" s="490"/>
      <c r="V21" s="332"/>
      <c r="W21" s="491"/>
    </row>
    <row r="22" customFormat="false" ht="15.75" hidden="false" customHeight="false" outlineLevel="0" collapsed="false">
      <c r="A22" s="476"/>
      <c r="B22" s="476"/>
      <c r="C22" s="294"/>
      <c r="D22" s="513" t="s">
        <v>287</v>
      </c>
      <c r="E22" s="514" t="s">
        <v>288</v>
      </c>
      <c r="F22" s="470" t="s">
        <v>289</v>
      </c>
      <c r="G22" s="510"/>
      <c r="H22" s="302"/>
      <c r="I22" s="471"/>
      <c r="J22" s="298"/>
      <c r="K22" s="69"/>
      <c r="L22" s="300"/>
      <c r="M22" s="300"/>
      <c r="N22" s="301"/>
      <c r="O22" s="301"/>
      <c r="P22" s="301"/>
      <c r="Q22" s="301"/>
      <c r="R22" s="299"/>
      <c r="S22" s="471"/>
      <c r="T22" s="69"/>
      <c r="U22" s="474"/>
      <c r="V22" s="69"/>
      <c r="W22" s="242"/>
    </row>
    <row r="23" customFormat="false" ht="15.75" hidden="false" customHeight="false" outlineLevel="0" collapsed="false">
      <c r="A23" s="476"/>
      <c r="B23" s="476"/>
      <c r="C23" s="515" t="s">
        <v>290</v>
      </c>
      <c r="D23" s="513" t="n">
        <f aca="false">SUM(D3:D10)</f>
        <v>364</v>
      </c>
      <c r="E23" s="516" t="n">
        <f aca="false">SUM(D14:D21)</f>
        <v>320</v>
      </c>
      <c r="F23" s="517" t="n">
        <f aca="false">E23-D23</f>
        <v>-44</v>
      </c>
      <c r="G23" s="510"/>
      <c r="H23" s="302"/>
      <c r="I23" s="471"/>
      <c r="J23" s="298"/>
      <c r="K23" s="69"/>
      <c r="L23" s="300"/>
      <c r="M23" s="300"/>
      <c r="N23" s="301"/>
      <c r="O23" s="301"/>
      <c r="P23" s="301"/>
      <c r="Q23" s="301"/>
      <c r="R23" s="299"/>
      <c r="S23" s="471"/>
      <c r="T23" s="69"/>
      <c r="U23" s="474"/>
      <c r="V23" s="69"/>
      <c r="W23" s="242"/>
    </row>
    <row r="24" customFormat="false" ht="15.75" hidden="false" customHeight="false" outlineLevel="0" collapsed="false">
      <c r="A24" s="476"/>
      <c r="B24" s="476"/>
      <c r="C24" s="515" t="s">
        <v>291</v>
      </c>
      <c r="D24" s="518" t="n">
        <f aca="false">SUM(L3:L10)</f>
        <v>45</v>
      </c>
      <c r="E24" s="519" t="n">
        <f aca="false">SUM(L14:L21)</f>
        <v>45</v>
      </c>
      <c r="F24" s="520" t="n">
        <f aca="false">E24-D24</f>
        <v>0</v>
      </c>
      <c r="G24" s="510"/>
      <c r="H24" s="302"/>
      <c r="I24" s="471"/>
      <c r="J24" s="298"/>
      <c r="K24" s="69"/>
      <c r="L24" s="300"/>
      <c r="M24" s="300"/>
      <c r="N24" s="301"/>
      <c r="O24" s="301"/>
      <c r="P24" s="301"/>
      <c r="Q24" s="301"/>
      <c r="R24" s="299"/>
      <c r="S24" s="471"/>
      <c r="T24" s="69"/>
      <c r="U24" s="474"/>
      <c r="V24" s="69"/>
      <c r="W24" s="242"/>
    </row>
    <row r="25" customFormat="false" ht="15.75" hidden="false" customHeight="false" outlineLevel="0" collapsed="false">
      <c r="A25" s="476"/>
      <c r="B25" s="476"/>
      <c r="C25" s="294"/>
      <c r="D25" s="521"/>
      <c r="E25" s="296"/>
      <c r="F25" s="470"/>
      <c r="G25" s="510"/>
      <c r="H25" s="302"/>
      <c r="I25" s="471"/>
      <c r="J25" s="298"/>
      <c r="K25" s="69"/>
      <c r="L25" s="300"/>
      <c r="M25" s="300"/>
      <c r="N25" s="301"/>
      <c r="O25" s="301"/>
      <c r="P25" s="301"/>
      <c r="Q25" s="301"/>
      <c r="R25" s="299"/>
      <c r="S25" s="471"/>
      <c r="T25" s="69"/>
      <c r="U25" s="474"/>
      <c r="V25" s="69"/>
      <c r="W25" s="242"/>
    </row>
    <row r="26" customFormat="false" ht="15.75" hidden="false" customHeight="false" outlineLevel="0" collapsed="false">
      <c r="A26" s="476"/>
      <c r="B26" s="476"/>
      <c r="C26" s="294"/>
      <c r="D26" s="522"/>
      <c r="E26" s="296"/>
      <c r="F26" s="470"/>
      <c r="G26" s="510"/>
      <c r="H26" s="302"/>
      <c r="I26" s="471"/>
      <c r="J26" s="298"/>
      <c r="K26" s="69"/>
      <c r="L26" s="300"/>
      <c r="M26" s="300"/>
      <c r="N26" s="301"/>
      <c r="O26" s="301"/>
      <c r="P26" s="301"/>
      <c r="Q26" s="301"/>
      <c r="R26" s="299"/>
      <c r="S26" s="69"/>
      <c r="T26" s="69"/>
      <c r="U26" s="474"/>
      <c r="V26" s="69"/>
      <c r="W26" s="242"/>
    </row>
    <row r="27" customFormat="false" ht="15.75" hidden="false" customHeight="false" outlineLevel="0" collapsed="false">
      <c r="A27" s="476"/>
      <c r="B27" s="476"/>
      <c r="C27" s="294"/>
      <c r="D27" s="295"/>
      <c r="E27" s="296"/>
      <c r="F27" s="470"/>
      <c r="G27" s="510"/>
      <c r="H27" s="302"/>
      <c r="I27" s="471"/>
      <c r="J27" s="298"/>
      <c r="L27" s="300"/>
      <c r="M27" s="300"/>
      <c r="N27" s="301"/>
      <c r="O27" s="301"/>
      <c r="P27" s="301"/>
      <c r="Q27" s="301"/>
      <c r="R27" s="299"/>
      <c r="S27" s="69"/>
      <c r="T27" s="69"/>
      <c r="U27" s="474"/>
      <c r="V27" s="69"/>
      <c r="W27" s="242"/>
      <c r="X27" s="69" t="s">
        <v>107</v>
      </c>
    </row>
    <row r="28" customFormat="false" ht="15.75" hidden="false" customHeight="true" outlineLevel="0" collapsed="false">
      <c r="A28" s="476"/>
      <c r="B28" s="476"/>
      <c r="C28" s="294"/>
      <c r="D28" s="295"/>
      <c r="E28" s="296"/>
      <c r="F28" s="470"/>
      <c r="G28" s="510"/>
      <c r="H28" s="302"/>
      <c r="I28" s="69"/>
      <c r="J28" s="298"/>
      <c r="K28" s="69"/>
      <c r="L28" s="300"/>
      <c r="M28" s="300"/>
      <c r="N28" s="301"/>
      <c r="O28" s="301"/>
      <c r="P28" s="301"/>
      <c r="Q28" s="301"/>
      <c r="R28" s="299"/>
      <c r="S28" s="471"/>
      <c r="T28" s="69"/>
      <c r="U28" s="478"/>
      <c r="V28" s="69"/>
      <c r="W28" s="242"/>
    </row>
    <row r="29" customFormat="false" ht="15.75" hidden="false" customHeight="false" outlineLevel="0" collapsed="false">
      <c r="A29" s="476"/>
      <c r="B29" s="476"/>
      <c r="C29" s="294"/>
      <c r="D29" s="295"/>
      <c r="E29" s="296"/>
      <c r="F29" s="470"/>
      <c r="G29" s="510"/>
      <c r="H29" s="302"/>
      <c r="I29" s="69"/>
      <c r="J29" s="298"/>
      <c r="K29" s="69"/>
      <c r="L29" s="300"/>
      <c r="M29" s="300"/>
      <c r="N29" s="301"/>
      <c r="O29" s="301"/>
      <c r="P29" s="301"/>
      <c r="Q29" s="301"/>
      <c r="R29" s="299"/>
      <c r="S29" s="471"/>
      <c r="T29" s="69"/>
      <c r="U29" s="478"/>
      <c r="V29" s="69"/>
      <c r="W29" s="242"/>
    </row>
    <row r="30" customFormat="false" ht="15.75" hidden="false" customHeight="false" outlineLevel="0" collapsed="false">
      <c r="A30" s="476"/>
      <c r="B30" s="476"/>
      <c r="C30" s="294"/>
      <c r="D30" s="295"/>
      <c r="E30" s="296"/>
      <c r="F30" s="470"/>
      <c r="G30" s="510"/>
      <c r="H30" s="302"/>
      <c r="I30" s="69"/>
      <c r="J30" s="298"/>
      <c r="K30" s="69"/>
      <c r="L30" s="300"/>
      <c r="M30" s="300"/>
      <c r="N30" s="301"/>
      <c r="O30" s="301"/>
      <c r="P30" s="301"/>
      <c r="Q30" s="301"/>
      <c r="R30" s="299"/>
      <c r="S30" s="471"/>
      <c r="T30" s="69"/>
      <c r="U30" s="478"/>
      <c r="V30" s="69"/>
      <c r="W30" s="242"/>
      <c r="X30" s="69" t="s">
        <v>262</v>
      </c>
    </row>
    <row r="31" customFormat="false" ht="15.75" hidden="false" customHeight="false" outlineLevel="0" collapsed="false">
      <c r="A31" s="476"/>
      <c r="B31" s="476"/>
      <c r="C31" s="294"/>
      <c r="D31" s="295"/>
      <c r="E31" s="296"/>
      <c r="F31" s="470"/>
      <c r="G31" s="510"/>
      <c r="H31" s="302"/>
      <c r="I31" s="69"/>
      <c r="J31" s="298"/>
      <c r="K31" s="69"/>
      <c r="L31" s="300"/>
      <c r="M31" s="300"/>
      <c r="N31" s="301"/>
      <c r="O31" s="301"/>
      <c r="P31" s="301"/>
      <c r="Q31" s="301"/>
      <c r="R31" s="299"/>
      <c r="S31" s="471"/>
      <c r="T31" s="69"/>
      <c r="U31" s="478"/>
      <c r="V31" s="69"/>
      <c r="W31" s="242"/>
    </row>
    <row r="32" customFormat="false" ht="15.75" hidden="false" customHeight="true" outlineLevel="0" collapsed="false">
      <c r="A32" s="476"/>
      <c r="B32" s="476"/>
      <c r="C32" s="294"/>
      <c r="D32" s="295"/>
      <c r="E32" s="296"/>
      <c r="F32" s="470"/>
      <c r="G32" s="510"/>
      <c r="H32" s="302"/>
      <c r="I32" s="69"/>
      <c r="J32" s="298"/>
      <c r="K32" s="69"/>
      <c r="L32" s="300"/>
      <c r="M32" s="300"/>
      <c r="N32" s="301"/>
      <c r="O32" s="301"/>
      <c r="P32" s="301"/>
      <c r="Q32" s="301"/>
      <c r="R32" s="299"/>
      <c r="S32" s="471"/>
      <c r="T32" s="69"/>
      <c r="U32" s="478"/>
      <c r="V32" s="69"/>
      <c r="W32" s="242"/>
      <c r="X32" s="69" t="s">
        <v>260</v>
      </c>
    </row>
    <row r="33" customFormat="false" ht="15.75" hidden="false" customHeight="false" outlineLevel="0" collapsed="false">
      <c r="A33" s="476"/>
      <c r="B33" s="476"/>
      <c r="C33" s="294"/>
      <c r="D33" s="295"/>
      <c r="E33" s="296"/>
      <c r="F33" s="470"/>
      <c r="G33" s="510"/>
      <c r="H33" s="302"/>
      <c r="I33" s="69"/>
      <c r="J33" s="298"/>
      <c r="K33" s="69"/>
      <c r="L33" s="300"/>
      <c r="M33" s="300"/>
      <c r="N33" s="301"/>
      <c r="O33" s="301"/>
      <c r="P33" s="301"/>
      <c r="Q33" s="301"/>
      <c r="R33" s="299"/>
      <c r="S33" s="471"/>
      <c r="T33" s="69"/>
      <c r="U33" s="478"/>
      <c r="V33" s="69"/>
      <c r="W33" s="242"/>
    </row>
    <row r="34" customFormat="false" ht="15.75" hidden="false" customHeight="false" outlineLevel="0" collapsed="false">
      <c r="A34" s="476"/>
      <c r="B34" s="476"/>
      <c r="C34" s="294"/>
      <c r="D34" s="295"/>
      <c r="E34" s="296"/>
      <c r="F34" s="470"/>
      <c r="G34" s="510"/>
      <c r="H34" s="302"/>
      <c r="I34" s="69"/>
      <c r="J34" s="298"/>
      <c r="K34" s="69"/>
      <c r="L34" s="300"/>
      <c r="M34" s="300"/>
      <c r="N34" s="301"/>
      <c r="O34" s="301"/>
      <c r="P34" s="301"/>
      <c r="Q34" s="301"/>
      <c r="R34" s="299"/>
      <c r="S34" s="471"/>
      <c r="T34" s="69"/>
      <c r="U34" s="478"/>
      <c r="V34" s="69"/>
      <c r="W34" s="242"/>
      <c r="X34" s="69" t="s">
        <v>283</v>
      </c>
    </row>
    <row r="35" customFormat="false" ht="15.75" hidden="false" customHeight="false" outlineLevel="0" collapsed="false">
      <c r="A35" s="476"/>
      <c r="B35" s="476"/>
      <c r="C35" s="294"/>
      <c r="D35" s="295"/>
      <c r="E35" s="296"/>
      <c r="F35" s="470"/>
      <c r="G35" s="510"/>
      <c r="H35" s="302"/>
      <c r="I35" s="69"/>
      <c r="J35" s="298"/>
      <c r="K35" s="69"/>
      <c r="L35" s="300"/>
      <c r="M35" s="300"/>
      <c r="N35" s="301"/>
      <c r="O35" s="301"/>
      <c r="P35" s="301"/>
      <c r="Q35" s="301"/>
      <c r="R35" s="299"/>
      <c r="S35" s="471"/>
      <c r="T35" s="69"/>
      <c r="U35" s="478"/>
      <c r="V35" s="69"/>
      <c r="W35" s="242"/>
    </row>
    <row r="36" customFormat="false" ht="15.75" hidden="false" customHeight="false" outlineLevel="0" collapsed="false">
      <c r="A36" s="476"/>
      <c r="B36" s="476"/>
      <c r="C36" s="294"/>
      <c r="D36" s="295"/>
      <c r="E36" s="296"/>
      <c r="F36" s="470"/>
      <c r="G36" s="510"/>
      <c r="H36" s="302"/>
      <c r="I36" s="69"/>
      <c r="J36" s="298"/>
      <c r="K36" s="69"/>
      <c r="L36" s="300"/>
      <c r="M36" s="300"/>
      <c r="N36" s="301"/>
      <c r="O36" s="301"/>
      <c r="P36" s="301"/>
      <c r="Q36" s="301"/>
      <c r="R36" s="299"/>
      <c r="S36" s="471"/>
      <c r="T36" s="69"/>
      <c r="U36" s="478"/>
      <c r="V36" s="69"/>
      <c r="W36" s="242"/>
    </row>
    <row r="37" customFormat="false" ht="15.75" hidden="false" customHeight="false" outlineLevel="0" collapsed="false">
      <c r="A37" s="476"/>
      <c r="B37" s="476"/>
      <c r="C37" s="294"/>
      <c r="D37" s="295"/>
      <c r="E37" s="296"/>
      <c r="F37" s="470"/>
      <c r="G37" s="510"/>
      <c r="H37" s="302"/>
      <c r="I37" s="69"/>
      <c r="J37" s="298"/>
      <c r="K37" s="69"/>
      <c r="L37" s="300"/>
      <c r="M37" s="300"/>
      <c r="N37" s="301"/>
      <c r="O37" s="301"/>
      <c r="P37" s="301"/>
      <c r="Q37" s="301"/>
      <c r="R37" s="299"/>
      <c r="S37" s="471"/>
      <c r="T37" s="69"/>
      <c r="U37" s="478"/>
      <c r="V37" s="69"/>
      <c r="W37" s="242"/>
    </row>
    <row r="38" customFormat="false" ht="15.75" hidden="false" customHeight="false" outlineLevel="0" collapsed="false">
      <c r="A38" s="476"/>
      <c r="B38" s="476"/>
      <c r="C38" s="294"/>
      <c r="D38" s="295"/>
      <c r="E38" s="296"/>
      <c r="F38" s="470"/>
      <c r="G38" s="510"/>
      <c r="H38" s="302"/>
      <c r="I38" s="69"/>
      <c r="J38" s="298"/>
      <c r="K38" s="69"/>
      <c r="L38" s="300"/>
      <c r="M38" s="300"/>
      <c r="N38" s="301"/>
      <c r="O38" s="301"/>
      <c r="P38" s="301"/>
      <c r="Q38" s="301"/>
      <c r="R38" s="299"/>
      <c r="S38" s="471"/>
      <c r="T38" s="69"/>
      <c r="U38" s="478"/>
      <c r="V38" s="69"/>
      <c r="W38" s="242"/>
      <c r="X38" s="69" t="s">
        <v>260</v>
      </c>
    </row>
    <row r="39" customFormat="false" ht="15.75" hidden="false" customHeight="false" outlineLevel="0" collapsed="false">
      <c r="A39" s="476"/>
      <c r="B39" s="476"/>
      <c r="C39" s="294"/>
      <c r="D39" s="295"/>
      <c r="E39" s="296"/>
      <c r="F39" s="470"/>
      <c r="G39" s="510"/>
      <c r="H39" s="302"/>
      <c r="I39" s="69"/>
      <c r="J39" s="298"/>
      <c r="K39" s="69"/>
      <c r="L39" s="300"/>
      <c r="M39" s="300"/>
      <c r="N39" s="301"/>
      <c r="O39" s="301"/>
      <c r="P39" s="301"/>
      <c r="Q39" s="301"/>
      <c r="R39" s="299"/>
      <c r="S39" s="471"/>
      <c r="T39" s="69"/>
      <c r="U39" s="478"/>
      <c r="V39" s="69"/>
      <c r="W39" s="242"/>
      <c r="X39" s="69" t="s">
        <v>264</v>
      </c>
    </row>
    <row r="40" customFormat="false" ht="15.75" hidden="false" customHeight="false" outlineLevel="0" collapsed="false">
      <c r="A40" s="476"/>
      <c r="B40" s="476"/>
      <c r="C40" s="294"/>
      <c r="D40" s="295"/>
      <c r="E40" s="296"/>
      <c r="F40" s="470"/>
      <c r="G40" s="510"/>
      <c r="H40" s="302"/>
      <c r="I40" s="69"/>
      <c r="J40" s="298"/>
      <c r="K40" s="69"/>
      <c r="L40" s="300"/>
      <c r="M40" s="300"/>
      <c r="N40" s="301"/>
      <c r="O40" s="301"/>
      <c r="P40" s="301"/>
      <c r="Q40" s="301"/>
      <c r="R40" s="299"/>
      <c r="S40" s="471"/>
      <c r="T40" s="69"/>
      <c r="U40" s="478"/>
      <c r="V40" s="69"/>
      <c r="W40" s="242"/>
    </row>
    <row r="41" customFormat="false" ht="15.75" hidden="false" customHeight="false" outlineLevel="0" collapsed="false">
      <c r="A41" s="476"/>
      <c r="B41" s="476"/>
      <c r="C41" s="294"/>
      <c r="D41" s="295"/>
      <c r="E41" s="296"/>
      <c r="F41" s="470"/>
      <c r="G41" s="510"/>
      <c r="H41" s="302"/>
      <c r="I41" s="69"/>
      <c r="J41" s="298"/>
      <c r="K41" s="69"/>
      <c r="L41" s="300"/>
      <c r="M41" s="300"/>
      <c r="N41" s="301"/>
      <c r="O41" s="301"/>
      <c r="P41" s="301"/>
      <c r="Q41" s="301"/>
      <c r="R41" s="299"/>
      <c r="S41" s="471"/>
      <c r="T41" s="69"/>
      <c r="U41" s="478"/>
      <c r="V41" s="69"/>
      <c r="W41" s="242"/>
      <c r="X41" s="69" t="s">
        <v>265</v>
      </c>
    </row>
    <row r="42" customFormat="false" ht="15.75" hidden="false" customHeight="false" outlineLevel="0" collapsed="false">
      <c r="A42" s="476"/>
      <c r="B42" s="476"/>
      <c r="C42" s="294"/>
      <c r="D42" s="295"/>
      <c r="E42" s="296"/>
      <c r="F42" s="470"/>
      <c r="G42" s="510"/>
      <c r="H42" s="302"/>
      <c r="I42" s="69"/>
      <c r="J42" s="298"/>
      <c r="K42" s="69"/>
      <c r="L42" s="300"/>
      <c r="M42" s="300"/>
      <c r="N42" s="301"/>
      <c r="O42" s="301"/>
      <c r="P42" s="301"/>
      <c r="Q42" s="301"/>
      <c r="R42" s="299"/>
      <c r="S42" s="471"/>
      <c r="T42" s="69"/>
      <c r="U42" s="478"/>
      <c r="V42" s="69"/>
      <c r="W42" s="242"/>
    </row>
    <row r="43" customFormat="false" ht="15.75" hidden="false" customHeight="false" outlineLevel="0" collapsed="false">
      <c r="A43" s="476"/>
      <c r="B43" s="476"/>
      <c r="C43" s="294"/>
      <c r="D43" s="295"/>
      <c r="E43" s="296"/>
      <c r="F43" s="470"/>
      <c r="G43" s="510"/>
      <c r="H43" s="302"/>
      <c r="I43" s="69"/>
      <c r="J43" s="298"/>
      <c r="K43" s="69"/>
      <c r="L43" s="300"/>
      <c r="M43" s="300"/>
      <c r="N43" s="301"/>
      <c r="O43" s="301"/>
      <c r="P43" s="301"/>
      <c r="Q43" s="301"/>
      <c r="R43" s="299"/>
      <c r="S43" s="471"/>
      <c r="T43" s="69"/>
      <c r="U43" s="478"/>
      <c r="V43" s="69"/>
      <c r="W43" s="242"/>
    </row>
    <row r="44" customFormat="false" ht="15.75" hidden="false" customHeight="false" outlineLevel="0" collapsed="false">
      <c r="A44" s="476"/>
      <c r="B44" s="476"/>
      <c r="C44" s="294"/>
      <c r="D44" s="295"/>
      <c r="E44" s="296"/>
      <c r="F44" s="470"/>
      <c r="G44" s="510"/>
      <c r="H44" s="302"/>
      <c r="I44" s="69"/>
      <c r="J44" s="298"/>
      <c r="K44" s="69"/>
      <c r="L44" s="300"/>
      <c r="M44" s="300"/>
      <c r="N44" s="301"/>
      <c r="O44" s="301"/>
      <c r="P44" s="301"/>
      <c r="Q44" s="301"/>
      <c r="R44" s="299"/>
      <c r="S44" s="471"/>
      <c r="T44" s="69"/>
      <c r="U44" s="478"/>
      <c r="V44" s="69"/>
      <c r="W44" s="242"/>
      <c r="X44" s="69" t="s">
        <v>260</v>
      </c>
    </row>
    <row r="45" customFormat="false" ht="15.75" hidden="false" customHeight="false" outlineLevel="0" collapsed="false">
      <c r="A45" s="476"/>
      <c r="B45" s="476"/>
      <c r="C45" s="294"/>
      <c r="D45" s="295"/>
      <c r="E45" s="296"/>
      <c r="F45" s="470"/>
      <c r="G45" s="510"/>
      <c r="H45" s="302"/>
      <c r="I45" s="69"/>
      <c r="J45" s="298"/>
      <c r="K45" s="69"/>
      <c r="L45" s="300"/>
      <c r="M45" s="300"/>
      <c r="N45" s="301"/>
      <c r="O45" s="301"/>
      <c r="P45" s="301"/>
      <c r="Q45" s="301"/>
      <c r="R45" s="299"/>
      <c r="S45" s="471"/>
      <c r="T45" s="69"/>
      <c r="U45" s="478"/>
      <c r="V45" s="69"/>
      <c r="W45" s="242"/>
    </row>
    <row r="46" customFormat="false" ht="15.75" hidden="false" customHeight="false" outlineLevel="0" collapsed="false">
      <c r="A46" s="476"/>
      <c r="B46" s="476"/>
      <c r="C46" s="294"/>
      <c r="D46" s="295"/>
      <c r="E46" s="296"/>
      <c r="F46" s="470"/>
      <c r="G46" s="510"/>
      <c r="H46" s="302"/>
      <c r="I46" s="69"/>
      <c r="J46" s="298"/>
      <c r="K46" s="69"/>
      <c r="L46" s="300"/>
      <c r="M46" s="300"/>
      <c r="N46" s="301"/>
      <c r="O46" s="301"/>
      <c r="P46" s="301"/>
      <c r="Q46" s="301"/>
      <c r="R46" s="299"/>
      <c r="S46" s="471"/>
      <c r="T46" s="69"/>
      <c r="U46" s="478"/>
      <c r="V46" s="69"/>
      <c r="W46" s="242"/>
    </row>
    <row r="47" customFormat="false" ht="15.75" hidden="false" customHeight="false" outlineLevel="0" collapsed="false">
      <c r="A47" s="476"/>
      <c r="B47" s="476"/>
      <c r="C47" s="294"/>
      <c r="D47" s="295"/>
      <c r="E47" s="296"/>
      <c r="F47" s="470"/>
      <c r="G47" s="510"/>
      <c r="H47" s="302"/>
      <c r="I47" s="69"/>
      <c r="J47" s="298"/>
      <c r="K47" s="69"/>
      <c r="L47" s="300"/>
      <c r="M47" s="300"/>
      <c r="N47" s="301"/>
      <c r="O47" s="301"/>
      <c r="P47" s="301"/>
      <c r="Q47" s="301"/>
      <c r="R47" s="299"/>
      <c r="S47" s="471"/>
      <c r="T47" s="69"/>
      <c r="U47" s="478"/>
      <c r="V47" s="69"/>
      <c r="W47" s="242"/>
      <c r="X47" s="69" t="s">
        <v>283</v>
      </c>
    </row>
    <row r="48" customFormat="false" ht="15.75" hidden="false" customHeight="false" outlineLevel="0" collapsed="false">
      <c r="A48" s="476"/>
      <c r="B48" s="476"/>
      <c r="C48" s="294"/>
      <c r="D48" s="295"/>
      <c r="E48" s="296"/>
      <c r="F48" s="470"/>
      <c r="G48" s="510"/>
      <c r="H48" s="302"/>
      <c r="I48" s="69"/>
      <c r="J48" s="298"/>
      <c r="K48" s="69"/>
      <c r="L48" s="300"/>
      <c r="M48" s="300"/>
      <c r="N48" s="301"/>
      <c r="O48" s="301"/>
      <c r="P48" s="301"/>
      <c r="Q48" s="301"/>
      <c r="R48" s="299"/>
      <c r="S48" s="471"/>
      <c r="T48" s="69"/>
      <c r="U48" s="478"/>
      <c r="V48" s="69"/>
      <c r="W48" s="242"/>
    </row>
    <row r="49" customFormat="false" ht="15.75" hidden="false" customHeight="false" outlineLevel="0" collapsed="false">
      <c r="A49" s="476"/>
      <c r="B49" s="476"/>
      <c r="C49" s="294"/>
      <c r="D49" s="295"/>
      <c r="E49" s="296"/>
      <c r="F49" s="470"/>
      <c r="G49" s="510"/>
      <c r="H49" s="302"/>
      <c r="I49" s="69"/>
      <c r="J49" s="298"/>
      <c r="K49" s="69"/>
      <c r="L49" s="300"/>
      <c r="M49" s="300"/>
      <c r="N49" s="301"/>
      <c r="O49" s="301"/>
      <c r="P49" s="301"/>
      <c r="Q49" s="301"/>
      <c r="R49" s="299"/>
      <c r="S49" s="471"/>
      <c r="T49" s="69"/>
      <c r="U49" s="478"/>
      <c r="V49" s="69"/>
      <c r="W49" s="242"/>
    </row>
    <row r="50" customFormat="false" ht="15.75" hidden="false" customHeight="false" outlineLevel="0" collapsed="false">
      <c r="A50" s="476"/>
      <c r="B50" s="476"/>
      <c r="C50" s="294"/>
      <c r="D50" s="295"/>
      <c r="E50" s="296"/>
      <c r="F50" s="470"/>
      <c r="G50" s="510"/>
      <c r="H50" s="302"/>
      <c r="I50" s="69"/>
      <c r="J50" s="298"/>
      <c r="K50" s="69"/>
      <c r="L50" s="300"/>
      <c r="M50" s="300"/>
      <c r="N50" s="301"/>
      <c r="O50" s="301"/>
      <c r="P50" s="301"/>
      <c r="Q50" s="301"/>
      <c r="R50" s="299"/>
      <c r="S50" s="471"/>
      <c r="T50" s="69"/>
      <c r="U50" s="478"/>
      <c r="V50" s="69"/>
      <c r="W50" s="242"/>
    </row>
    <row r="51" customFormat="false" ht="15.75" hidden="false" customHeight="false" outlineLevel="0" collapsed="false">
      <c r="A51" s="476"/>
      <c r="B51" s="476"/>
      <c r="C51" s="294"/>
      <c r="D51" s="295"/>
      <c r="E51" s="296"/>
      <c r="F51" s="470"/>
      <c r="G51" s="510"/>
      <c r="H51" s="302"/>
      <c r="I51" s="69"/>
      <c r="J51" s="298"/>
      <c r="K51" s="69"/>
      <c r="L51" s="300"/>
      <c r="M51" s="300"/>
      <c r="N51" s="301"/>
      <c r="O51" s="301"/>
      <c r="P51" s="301"/>
      <c r="Q51" s="301"/>
      <c r="R51" s="299"/>
      <c r="S51" s="471"/>
      <c r="T51" s="69"/>
      <c r="U51" s="478"/>
      <c r="V51" s="69"/>
      <c r="W51" s="242"/>
      <c r="X51" s="69" t="s">
        <v>260</v>
      </c>
    </row>
    <row r="52" customFormat="false" ht="15.75" hidden="false" customHeight="false" outlineLevel="0" collapsed="false">
      <c r="A52" s="476"/>
      <c r="B52" s="476"/>
      <c r="C52" s="294"/>
      <c r="D52" s="295"/>
      <c r="E52" s="296"/>
      <c r="F52" s="470"/>
      <c r="G52" s="510"/>
      <c r="H52" s="302"/>
      <c r="I52" s="69"/>
      <c r="J52" s="298"/>
      <c r="K52" s="69"/>
      <c r="L52" s="300"/>
      <c r="M52" s="300"/>
      <c r="N52" s="301"/>
      <c r="O52" s="301"/>
      <c r="P52" s="301"/>
      <c r="Q52" s="301"/>
      <c r="R52" s="299"/>
      <c r="S52" s="69"/>
      <c r="T52" s="69"/>
      <c r="U52" s="479"/>
      <c r="V52" s="69"/>
      <c r="W52" s="242"/>
    </row>
    <row r="53" customFormat="false" ht="15.75" hidden="false" customHeight="false" outlineLevel="0" collapsed="false">
      <c r="A53" s="476"/>
      <c r="B53" s="476"/>
      <c r="C53" s="335"/>
      <c r="D53" s="40"/>
      <c r="E53" s="44"/>
      <c r="F53" s="42"/>
      <c r="G53" s="246"/>
      <c r="H53" s="139"/>
      <c r="I53" s="47"/>
      <c r="J53" s="46"/>
      <c r="K53" s="47"/>
      <c r="L53" s="51"/>
      <c r="M53" s="51"/>
      <c r="N53" s="140"/>
      <c r="O53" s="140"/>
      <c r="P53" s="140"/>
      <c r="Q53" s="140"/>
      <c r="R53" s="48"/>
      <c r="S53" s="47"/>
      <c r="T53" s="47"/>
      <c r="U53" s="523"/>
      <c r="V53" s="47"/>
      <c r="W53" s="50"/>
    </row>
    <row r="54" customFormat="false" ht="15.75" hidden="false" customHeight="false" outlineLevel="0" collapsed="false">
      <c r="A54" s="476"/>
      <c r="B54" s="476"/>
      <c r="C54" s="132"/>
      <c r="D54" s="81"/>
      <c r="E54" s="121"/>
      <c r="F54" s="83"/>
      <c r="G54" s="246"/>
      <c r="H54" s="139"/>
      <c r="I54" s="86"/>
      <c r="J54" s="87"/>
      <c r="K54" s="86"/>
      <c r="L54" s="92"/>
      <c r="M54" s="92"/>
      <c r="N54" s="94"/>
      <c r="O54" s="94"/>
      <c r="P54" s="94"/>
      <c r="Q54" s="94"/>
      <c r="R54" s="88"/>
      <c r="S54" s="86"/>
      <c r="T54" s="86"/>
      <c r="U54" s="90"/>
      <c r="V54" s="86"/>
      <c r="W54" s="91"/>
    </row>
    <row r="55" customFormat="false" ht="15.75" hidden="false" customHeight="false" outlineLevel="0" collapsed="false">
      <c r="A55" s="476"/>
      <c r="B55" s="476"/>
      <c r="C55" s="132"/>
      <c r="D55" s="81"/>
      <c r="E55" s="121"/>
      <c r="F55" s="83"/>
      <c r="G55" s="246"/>
      <c r="H55" s="139"/>
      <c r="I55" s="86"/>
      <c r="J55" s="87"/>
      <c r="K55" s="86"/>
      <c r="L55" s="92"/>
      <c r="M55" s="92"/>
      <c r="N55" s="94"/>
      <c r="O55" s="94"/>
      <c r="P55" s="94"/>
      <c r="Q55" s="94"/>
      <c r="R55" s="88"/>
      <c r="S55" s="89"/>
      <c r="T55" s="86"/>
      <c r="U55" s="122"/>
      <c r="V55" s="86"/>
      <c r="W55" s="91"/>
    </row>
    <row r="56" customFormat="false" ht="15.75" hidden="false" customHeight="false" outlineLevel="0" collapsed="false">
      <c r="A56" s="476"/>
      <c r="B56" s="476"/>
      <c r="C56" s="132"/>
      <c r="D56" s="81"/>
      <c r="E56" s="121"/>
      <c r="F56" s="83"/>
      <c r="G56" s="246"/>
      <c r="H56" s="139"/>
      <c r="I56" s="86"/>
      <c r="J56" s="87"/>
      <c r="K56" s="86"/>
      <c r="L56" s="92"/>
      <c r="M56" s="92"/>
      <c r="N56" s="94"/>
      <c r="O56" s="94"/>
      <c r="P56" s="94"/>
      <c r="Q56" s="94"/>
      <c r="R56" s="88"/>
      <c r="S56" s="89"/>
      <c r="T56" s="86"/>
      <c r="U56" s="122"/>
      <c r="V56" s="86"/>
      <c r="W56" s="91"/>
      <c r="X56" s="69" t="s">
        <v>260</v>
      </c>
    </row>
    <row r="57" customFormat="false" ht="15.75" hidden="false" customHeight="false" outlineLevel="0" collapsed="false">
      <c r="A57" s="476"/>
      <c r="B57" s="476"/>
      <c r="C57" s="132"/>
      <c r="D57" s="81"/>
      <c r="E57" s="121"/>
      <c r="F57" s="83"/>
      <c r="G57" s="246"/>
      <c r="H57" s="139"/>
      <c r="I57" s="86"/>
      <c r="J57" s="87"/>
      <c r="K57" s="86"/>
      <c r="L57" s="92"/>
      <c r="M57" s="92"/>
      <c r="N57" s="94"/>
      <c r="O57" s="94"/>
      <c r="P57" s="94"/>
      <c r="Q57" s="94"/>
      <c r="R57" s="88"/>
      <c r="S57" s="89"/>
      <c r="T57" s="86"/>
      <c r="U57" s="122"/>
      <c r="V57" s="86"/>
      <c r="W57" s="91"/>
    </row>
    <row r="58" customFormat="false" ht="15.75" hidden="false" customHeight="false" outlineLevel="0" collapsed="false">
      <c r="A58" s="476"/>
      <c r="B58" s="476"/>
      <c r="C58" s="132"/>
      <c r="D58" s="81"/>
      <c r="E58" s="121"/>
      <c r="F58" s="83"/>
      <c r="G58" s="246"/>
      <c r="H58" s="139"/>
      <c r="I58" s="86"/>
      <c r="J58" s="87"/>
      <c r="K58" s="86"/>
      <c r="L58" s="92"/>
      <c r="M58" s="92"/>
      <c r="N58" s="94"/>
      <c r="O58" s="94"/>
      <c r="P58" s="94"/>
      <c r="Q58" s="94"/>
      <c r="R58" s="88"/>
      <c r="S58" s="89"/>
      <c r="T58" s="86"/>
      <c r="U58" s="122"/>
      <c r="V58" s="86"/>
      <c r="W58" s="91"/>
    </row>
    <row r="59" customFormat="false" ht="15.75" hidden="false" customHeight="false" outlineLevel="0" collapsed="false">
      <c r="A59" s="476"/>
      <c r="B59" s="476"/>
      <c r="C59" s="132"/>
      <c r="D59" s="81"/>
      <c r="E59" s="121"/>
      <c r="F59" s="83"/>
      <c r="G59" s="246"/>
      <c r="H59" s="139"/>
      <c r="I59" s="86"/>
      <c r="J59" s="87"/>
      <c r="K59" s="86"/>
      <c r="L59" s="92"/>
      <c r="M59" s="92"/>
      <c r="N59" s="94"/>
      <c r="O59" s="94"/>
      <c r="P59" s="94"/>
      <c r="Q59" s="94"/>
      <c r="R59" s="88"/>
      <c r="S59" s="86"/>
      <c r="T59" s="86"/>
      <c r="U59" s="122"/>
      <c r="V59" s="86"/>
      <c r="W59" s="91"/>
    </row>
    <row r="60" customFormat="false" ht="15.75" hidden="false" customHeight="false" outlineLevel="0" collapsed="false">
      <c r="A60" s="476"/>
      <c r="B60" s="476"/>
      <c r="C60" s="132"/>
      <c r="D60" s="81"/>
      <c r="E60" s="121"/>
      <c r="F60" s="83"/>
      <c r="G60" s="246"/>
      <c r="H60" s="139"/>
      <c r="I60" s="86"/>
      <c r="J60" s="87"/>
      <c r="K60" s="86"/>
      <c r="L60" s="92"/>
      <c r="M60" s="92"/>
      <c r="N60" s="94"/>
      <c r="O60" s="94"/>
      <c r="P60" s="94"/>
      <c r="Q60" s="94"/>
      <c r="R60" s="88"/>
      <c r="S60" s="89"/>
      <c r="T60" s="86"/>
      <c r="U60" s="122"/>
      <c r="V60" s="86"/>
      <c r="W60" s="91"/>
      <c r="X60" s="69" t="s">
        <v>285</v>
      </c>
    </row>
    <row r="61" customFormat="false" ht="15.75" hidden="false" customHeight="false" outlineLevel="0" collapsed="false">
      <c r="A61" s="476"/>
      <c r="B61" s="476"/>
      <c r="C61" s="132"/>
      <c r="D61" s="81"/>
      <c r="E61" s="121"/>
      <c r="F61" s="83"/>
      <c r="G61" s="246"/>
      <c r="H61" s="139"/>
      <c r="I61" s="86"/>
      <c r="J61" s="87"/>
      <c r="K61" s="86"/>
      <c r="L61" s="92"/>
      <c r="M61" s="92"/>
      <c r="N61" s="94"/>
      <c r="O61" s="94"/>
      <c r="P61" s="94"/>
      <c r="Q61" s="94"/>
      <c r="R61" s="88"/>
      <c r="S61" s="89"/>
      <c r="T61" s="86"/>
      <c r="U61" s="122"/>
      <c r="V61" s="86"/>
      <c r="W61" s="91"/>
    </row>
    <row r="62" customFormat="false" ht="15.75" hidden="false" customHeight="false" outlineLevel="0" collapsed="false">
      <c r="A62" s="476"/>
      <c r="B62" s="476"/>
      <c r="C62" s="132"/>
      <c r="D62" s="81"/>
      <c r="E62" s="121"/>
      <c r="F62" s="83"/>
      <c r="G62" s="246"/>
      <c r="H62" s="139"/>
      <c r="I62" s="86"/>
      <c r="J62" s="87"/>
      <c r="K62" s="86"/>
      <c r="L62" s="92"/>
      <c r="M62" s="92"/>
      <c r="N62" s="94"/>
      <c r="O62" s="94"/>
      <c r="P62" s="94"/>
      <c r="Q62" s="94"/>
      <c r="R62" s="88"/>
      <c r="S62" s="89"/>
      <c r="T62" s="86"/>
      <c r="U62" s="122"/>
      <c r="V62" s="86"/>
      <c r="W62" s="91"/>
    </row>
    <row r="63" customFormat="false" ht="15.75" hidden="false" customHeight="false" outlineLevel="0" collapsed="false">
      <c r="A63" s="476"/>
      <c r="B63" s="476"/>
      <c r="C63" s="132"/>
      <c r="D63" s="81"/>
      <c r="E63" s="121"/>
      <c r="F63" s="83"/>
      <c r="G63" s="246"/>
      <c r="H63" s="139"/>
      <c r="I63" s="86"/>
      <c r="J63" s="87"/>
      <c r="K63" s="86"/>
      <c r="L63" s="92"/>
      <c r="M63" s="92"/>
      <c r="N63" s="94"/>
      <c r="O63" s="94"/>
      <c r="P63" s="94"/>
      <c r="Q63" s="94"/>
      <c r="R63" s="88"/>
      <c r="S63" s="86"/>
      <c r="T63" s="86"/>
      <c r="U63" s="122"/>
      <c r="V63" s="86"/>
      <c r="W63" s="91"/>
    </row>
    <row r="64" customFormat="false" ht="15.75" hidden="false" customHeight="false" outlineLevel="0" collapsed="false">
      <c r="A64" s="476"/>
      <c r="B64" s="476"/>
      <c r="C64" s="132"/>
      <c r="D64" s="81"/>
      <c r="E64" s="121"/>
      <c r="F64" s="83"/>
      <c r="G64" s="246"/>
      <c r="H64" s="139"/>
      <c r="I64" s="86"/>
      <c r="J64" s="87"/>
      <c r="K64" s="86"/>
      <c r="L64" s="92"/>
      <c r="M64" s="92"/>
      <c r="N64" s="94"/>
      <c r="O64" s="94"/>
      <c r="P64" s="94"/>
      <c r="Q64" s="94"/>
      <c r="R64" s="88"/>
      <c r="S64" s="86"/>
      <c r="T64" s="86"/>
      <c r="U64" s="122"/>
      <c r="V64" s="86"/>
      <c r="W64" s="91"/>
      <c r="X64" s="69" t="s">
        <v>158</v>
      </c>
    </row>
    <row r="65" customFormat="false" ht="15.75" hidden="false" customHeight="false" outlineLevel="0" collapsed="false">
      <c r="A65" s="476"/>
      <c r="B65" s="476"/>
      <c r="C65" s="132"/>
      <c r="D65" s="81"/>
      <c r="E65" s="121"/>
      <c r="F65" s="83"/>
      <c r="G65" s="246"/>
      <c r="H65" s="139"/>
      <c r="I65" s="86"/>
      <c r="J65" s="87"/>
      <c r="K65" s="86"/>
      <c r="L65" s="92"/>
      <c r="M65" s="92"/>
      <c r="N65" s="94"/>
      <c r="O65" s="94"/>
      <c r="P65" s="94"/>
      <c r="Q65" s="94"/>
      <c r="R65" s="88"/>
      <c r="S65" s="89"/>
      <c r="T65" s="86"/>
      <c r="U65" s="122"/>
      <c r="V65" s="86"/>
      <c r="W65" s="91"/>
      <c r="X65" s="69" t="s">
        <v>260</v>
      </c>
    </row>
    <row r="66" customFormat="false" ht="15.75" hidden="false" customHeight="false" outlineLevel="0" collapsed="false">
      <c r="A66" s="476"/>
      <c r="B66" s="476"/>
      <c r="C66" s="132"/>
      <c r="D66" s="81"/>
      <c r="E66" s="121"/>
      <c r="F66" s="83"/>
      <c r="G66" s="246"/>
      <c r="H66" s="139"/>
      <c r="I66" s="86"/>
      <c r="J66" s="87"/>
      <c r="K66" s="86"/>
      <c r="L66" s="92"/>
      <c r="M66" s="92"/>
      <c r="N66" s="94"/>
      <c r="O66" s="94"/>
      <c r="P66" s="94"/>
      <c r="Q66" s="94"/>
      <c r="R66" s="88"/>
      <c r="S66" s="86"/>
      <c r="T66" s="86"/>
      <c r="U66" s="90"/>
      <c r="V66" s="86"/>
      <c r="W66" s="91"/>
    </row>
    <row r="67" customFormat="false" ht="15.75" hidden="false" customHeight="true" outlineLevel="0" collapsed="false">
      <c r="A67" s="476"/>
      <c r="B67" s="476"/>
      <c r="C67" s="132"/>
      <c r="D67" s="81"/>
      <c r="E67" s="121"/>
      <c r="F67" s="83"/>
      <c r="G67" s="246"/>
      <c r="H67" s="139"/>
      <c r="I67" s="86"/>
      <c r="J67" s="87"/>
      <c r="K67" s="86"/>
      <c r="L67" s="92"/>
      <c r="M67" s="92"/>
      <c r="N67" s="94"/>
      <c r="O67" s="94"/>
      <c r="P67" s="94"/>
      <c r="Q67" s="94"/>
      <c r="R67" s="88"/>
      <c r="S67" s="89"/>
      <c r="T67" s="86"/>
      <c r="U67" s="122"/>
      <c r="V67" s="86"/>
      <c r="W67" s="91"/>
      <c r="X67" s="69" t="s">
        <v>260</v>
      </c>
    </row>
    <row r="68" customFormat="false" ht="15.75" hidden="false" customHeight="false" outlineLevel="0" collapsed="false">
      <c r="A68" s="476"/>
      <c r="B68" s="476"/>
      <c r="C68" s="132"/>
      <c r="D68" s="81"/>
      <c r="E68" s="121"/>
      <c r="F68" s="83"/>
      <c r="G68" s="246"/>
      <c r="H68" s="139"/>
      <c r="I68" s="86"/>
      <c r="J68" s="87"/>
      <c r="K68" s="86"/>
      <c r="L68" s="92"/>
      <c r="M68" s="92"/>
      <c r="N68" s="94"/>
      <c r="O68" s="94"/>
      <c r="P68" s="94"/>
      <c r="Q68" s="94"/>
      <c r="R68" s="88"/>
      <c r="S68" s="89"/>
      <c r="T68" s="86"/>
      <c r="U68" s="122"/>
      <c r="V68" s="86"/>
      <c r="W68" s="91"/>
    </row>
    <row r="69" customFormat="false" ht="15.75" hidden="false" customHeight="false" outlineLevel="0" collapsed="false">
      <c r="A69" s="476"/>
      <c r="B69" s="476"/>
      <c r="C69" s="132"/>
      <c r="D69" s="81"/>
      <c r="E69" s="121"/>
      <c r="F69" s="83"/>
      <c r="G69" s="246"/>
      <c r="H69" s="139"/>
      <c r="I69" s="86"/>
      <c r="J69" s="87"/>
      <c r="K69" s="86"/>
      <c r="L69" s="92"/>
      <c r="M69" s="92"/>
      <c r="N69" s="94"/>
      <c r="O69" s="94"/>
      <c r="P69" s="94"/>
      <c r="Q69" s="94"/>
      <c r="R69" s="88"/>
      <c r="S69" s="89"/>
      <c r="T69" s="86"/>
      <c r="U69" s="122"/>
      <c r="V69" s="86"/>
      <c r="W69" s="91"/>
    </row>
    <row r="70" customFormat="false" ht="15.75" hidden="false" customHeight="false" outlineLevel="0" collapsed="false">
      <c r="A70" s="476"/>
      <c r="B70" s="476"/>
      <c r="C70" s="132"/>
      <c r="D70" s="81"/>
      <c r="E70" s="121"/>
      <c r="F70" s="83"/>
      <c r="G70" s="246"/>
      <c r="H70" s="139"/>
      <c r="I70" s="86"/>
      <c r="J70" s="87"/>
      <c r="K70" s="86"/>
      <c r="L70" s="92"/>
      <c r="M70" s="92"/>
      <c r="N70" s="94"/>
      <c r="O70" s="94"/>
      <c r="P70" s="94"/>
      <c r="Q70" s="94"/>
      <c r="R70" s="88"/>
      <c r="S70" s="89"/>
      <c r="T70" s="86"/>
      <c r="U70" s="122"/>
      <c r="V70" s="86"/>
      <c r="W70" s="91"/>
      <c r="X70" s="69" t="s">
        <v>260</v>
      </c>
    </row>
    <row r="71" customFormat="false" ht="15.75" hidden="false" customHeight="false" outlineLevel="0" collapsed="false">
      <c r="A71" s="476"/>
      <c r="B71" s="476"/>
      <c r="C71" s="132"/>
      <c r="D71" s="81"/>
      <c r="E71" s="121"/>
      <c r="F71" s="83"/>
      <c r="G71" s="246"/>
      <c r="H71" s="139"/>
      <c r="I71" s="86"/>
      <c r="J71" s="87"/>
      <c r="K71" s="86"/>
      <c r="L71" s="92"/>
      <c r="M71" s="92"/>
      <c r="N71" s="94"/>
      <c r="O71" s="94"/>
      <c r="P71" s="94"/>
      <c r="Q71" s="94"/>
      <c r="R71" s="88"/>
      <c r="S71" s="86"/>
      <c r="T71" s="86"/>
      <c r="U71" s="122"/>
      <c r="V71" s="86"/>
      <c r="W71" s="91"/>
    </row>
    <row r="72" customFormat="false" ht="15.75" hidden="false" customHeight="false" outlineLevel="0" collapsed="false">
      <c r="A72" s="476"/>
      <c r="B72" s="476"/>
      <c r="C72" s="132"/>
      <c r="D72" s="81"/>
      <c r="E72" s="121"/>
      <c r="F72" s="83"/>
      <c r="G72" s="246"/>
      <c r="H72" s="139"/>
      <c r="I72" s="86"/>
      <c r="J72" s="87"/>
      <c r="K72" s="86"/>
      <c r="L72" s="92"/>
      <c r="M72" s="92"/>
      <c r="N72" s="94"/>
      <c r="O72" s="94"/>
      <c r="P72" s="94"/>
      <c r="Q72" s="94"/>
      <c r="R72" s="88"/>
      <c r="S72" s="86"/>
      <c r="T72" s="86"/>
      <c r="U72" s="90"/>
      <c r="V72" s="86"/>
      <c r="W72" s="91"/>
    </row>
    <row r="73" customFormat="false" ht="15.75" hidden="false" customHeight="false" outlineLevel="0" collapsed="false">
      <c r="A73" s="476"/>
      <c r="B73" s="476"/>
      <c r="C73" s="132"/>
      <c r="D73" s="81"/>
      <c r="E73" s="121"/>
      <c r="F73" s="83"/>
      <c r="G73" s="246"/>
      <c r="H73" s="139"/>
      <c r="I73" s="86"/>
      <c r="J73" s="87"/>
      <c r="K73" s="86"/>
      <c r="L73" s="92"/>
      <c r="M73" s="92"/>
      <c r="N73" s="94"/>
      <c r="O73" s="94"/>
      <c r="P73" s="94"/>
      <c r="Q73" s="94"/>
      <c r="R73" s="88"/>
      <c r="S73" s="86"/>
      <c r="T73" s="86"/>
      <c r="U73" s="90"/>
      <c r="V73" s="86"/>
      <c r="W73" s="91"/>
    </row>
    <row r="74" customFormat="false" ht="15.75" hidden="false" customHeight="false" outlineLevel="0" collapsed="false">
      <c r="A74" s="476"/>
      <c r="B74" s="476"/>
      <c r="C74" s="524"/>
      <c r="D74" s="249"/>
      <c r="E74" s="492"/>
      <c r="F74" s="251"/>
      <c r="G74" s="246"/>
      <c r="H74" s="139"/>
      <c r="I74" s="224"/>
      <c r="J74" s="252"/>
      <c r="K74" s="224"/>
      <c r="L74" s="136"/>
      <c r="M74" s="136"/>
      <c r="N74" s="94"/>
      <c r="O74" s="94"/>
      <c r="P74" s="94"/>
      <c r="Q74" s="94"/>
      <c r="R74" s="225"/>
      <c r="S74" s="86"/>
      <c r="T74" s="224"/>
      <c r="U74" s="282"/>
      <c r="V74" s="224"/>
      <c r="W74" s="235"/>
    </row>
    <row r="75" customFormat="false" ht="15.75" hidden="true" customHeight="false" outlineLevel="0" collapsed="false">
      <c r="A75" s="294"/>
      <c r="B75" s="294"/>
      <c r="C75" s="294"/>
      <c r="D75" s="295"/>
      <c r="E75" s="296"/>
      <c r="F75" s="297"/>
      <c r="G75" s="133"/>
      <c r="H75" s="139"/>
      <c r="I75" s="69"/>
      <c r="J75" s="298"/>
      <c r="K75" s="69"/>
      <c r="L75" s="300"/>
      <c r="M75" s="300"/>
      <c r="N75" s="301"/>
      <c r="O75" s="301"/>
      <c r="P75" s="301"/>
      <c r="Q75" s="301"/>
      <c r="R75" s="299"/>
      <c r="S75" s="69"/>
      <c r="T75" s="69"/>
      <c r="U75" s="69"/>
      <c r="V75" s="69"/>
      <c r="W75" s="242"/>
    </row>
    <row r="76" customFormat="false" ht="15.75" hidden="true" customHeight="false" outlineLevel="0" collapsed="false">
      <c r="A76" s="294"/>
      <c r="B76" s="294"/>
      <c r="C76" s="294"/>
      <c r="D76" s="295"/>
      <c r="E76" s="296"/>
      <c r="F76" s="297"/>
      <c r="G76" s="133"/>
      <c r="H76" s="139"/>
      <c r="I76" s="69"/>
      <c r="J76" s="298"/>
      <c r="K76" s="69"/>
      <c r="L76" s="300"/>
      <c r="M76" s="300"/>
      <c r="N76" s="301"/>
      <c r="O76" s="301"/>
      <c r="P76" s="301"/>
      <c r="Q76" s="301"/>
      <c r="R76" s="299"/>
      <c r="S76" s="69"/>
      <c r="T76" s="69"/>
      <c r="U76" s="69"/>
      <c r="V76" s="69"/>
      <c r="W76" s="242"/>
    </row>
    <row r="77" customFormat="false" ht="15.75" hidden="true" customHeight="false" outlineLevel="0" collapsed="false">
      <c r="A77" s="294"/>
      <c r="B77" s="294"/>
      <c r="C77" s="294"/>
      <c r="D77" s="295"/>
      <c r="E77" s="296"/>
      <c r="F77" s="297"/>
      <c r="G77" s="133"/>
      <c r="H77" s="139"/>
      <c r="I77" s="69"/>
      <c r="J77" s="298"/>
      <c r="K77" s="69"/>
      <c r="L77" s="300"/>
      <c r="M77" s="300"/>
      <c r="N77" s="301"/>
      <c r="O77" s="301"/>
      <c r="P77" s="301"/>
      <c r="Q77" s="301"/>
      <c r="R77" s="299"/>
      <c r="S77" s="69"/>
      <c r="T77" s="69"/>
      <c r="U77" s="69"/>
      <c r="V77" s="69"/>
      <c r="W77" s="242"/>
    </row>
    <row r="78" customFormat="false" ht="15.75" hidden="true" customHeight="false" outlineLevel="0" collapsed="false">
      <c r="A78" s="294"/>
      <c r="B78" s="294"/>
      <c r="C78" s="294"/>
      <c r="D78" s="295"/>
      <c r="E78" s="296"/>
      <c r="F78" s="297"/>
      <c r="G78" s="133"/>
      <c r="H78" s="139"/>
      <c r="I78" s="69"/>
      <c r="J78" s="298"/>
      <c r="K78" s="69"/>
      <c r="L78" s="300"/>
      <c r="M78" s="300"/>
      <c r="N78" s="301"/>
      <c r="O78" s="301"/>
      <c r="P78" s="301"/>
      <c r="Q78" s="301"/>
      <c r="R78" s="299"/>
      <c r="S78" s="69"/>
      <c r="T78" s="69"/>
      <c r="U78" s="69"/>
      <c r="V78" s="69"/>
      <c r="W78" s="242"/>
    </row>
    <row r="79" customFormat="false" ht="15.75" hidden="true" customHeight="false" outlineLevel="0" collapsed="false">
      <c r="A79" s="294"/>
      <c r="B79" s="294"/>
      <c r="C79" s="294"/>
      <c r="D79" s="295"/>
      <c r="E79" s="296"/>
      <c r="F79" s="297"/>
      <c r="G79" s="133"/>
      <c r="H79" s="134"/>
      <c r="I79" s="69"/>
      <c r="J79" s="298"/>
      <c r="K79" s="69"/>
      <c r="L79" s="300"/>
      <c r="M79" s="300"/>
      <c r="N79" s="301"/>
      <c r="O79" s="301"/>
      <c r="P79" s="301"/>
      <c r="Q79" s="301"/>
      <c r="R79" s="299"/>
      <c r="S79" s="69"/>
      <c r="T79" s="69"/>
      <c r="U79" s="69"/>
      <c r="V79" s="69"/>
      <c r="W79" s="242"/>
    </row>
    <row r="80" customFormat="false" ht="15.75" hidden="true" customHeight="false" outlineLevel="0" collapsed="false">
      <c r="A80" s="294"/>
      <c r="B80" s="294"/>
      <c r="C80" s="294"/>
      <c r="D80" s="295"/>
      <c r="E80" s="296"/>
      <c r="F80" s="297"/>
      <c r="G80" s="133"/>
      <c r="H80" s="139"/>
      <c r="I80" s="69"/>
      <c r="J80" s="298"/>
      <c r="K80" s="69"/>
      <c r="L80" s="300"/>
      <c r="M80" s="300"/>
      <c r="N80" s="301"/>
      <c r="O80" s="301"/>
      <c r="P80" s="301"/>
      <c r="Q80" s="301"/>
      <c r="R80" s="299"/>
      <c r="S80" s="69"/>
      <c r="T80" s="69"/>
      <c r="U80" s="69"/>
      <c r="V80" s="69"/>
      <c r="W80" s="242"/>
    </row>
    <row r="81" customFormat="false" ht="15.75" hidden="true" customHeight="false" outlineLevel="0" collapsed="false">
      <c r="A81" s="294"/>
      <c r="B81" s="294"/>
      <c r="C81" s="294"/>
      <c r="D81" s="295"/>
      <c r="E81" s="296"/>
      <c r="F81" s="297"/>
      <c r="G81" s="133"/>
      <c r="H81" s="139"/>
      <c r="I81" s="69"/>
      <c r="J81" s="298"/>
      <c r="K81" s="69"/>
      <c r="L81" s="300"/>
      <c r="M81" s="300"/>
      <c r="N81" s="301"/>
      <c r="O81" s="301"/>
      <c r="P81" s="301"/>
      <c r="Q81" s="301"/>
      <c r="R81" s="299"/>
      <c r="S81" s="69"/>
      <c r="T81" s="69"/>
      <c r="U81" s="69"/>
      <c r="V81" s="69"/>
      <c r="W81" s="242"/>
    </row>
    <row r="82" customFormat="false" ht="15.75" hidden="true" customHeight="false" outlineLevel="0" collapsed="false">
      <c r="A82" s="294"/>
      <c r="B82" s="294"/>
      <c r="C82" s="294"/>
      <c r="D82" s="295"/>
      <c r="E82" s="296"/>
      <c r="F82" s="297"/>
      <c r="G82" s="133"/>
      <c r="H82" s="139"/>
      <c r="I82" s="69"/>
      <c r="J82" s="298"/>
      <c r="K82" s="69"/>
      <c r="L82" s="300"/>
      <c r="M82" s="300"/>
      <c r="N82" s="301"/>
      <c r="O82" s="301"/>
      <c r="P82" s="301"/>
      <c r="Q82" s="301"/>
      <c r="R82" s="299"/>
      <c r="S82" s="69"/>
      <c r="T82" s="69"/>
      <c r="U82" s="69"/>
      <c r="V82" s="69"/>
      <c r="W82" s="242"/>
    </row>
    <row r="83" customFormat="false" ht="15.75" hidden="true" customHeight="false" outlineLevel="0" collapsed="false">
      <c r="A83" s="294"/>
      <c r="B83" s="294"/>
      <c r="C83" s="294"/>
      <c r="D83" s="295"/>
      <c r="E83" s="296"/>
      <c r="F83" s="297"/>
      <c r="G83" s="133"/>
      <c r="H83" s="139"/>
      <c r="I83" s="69"/>
      <c r="J83" s="298"/>
      <c r="K83" s="69"/>
      <c r="L83" s="300"/>
      <c r="M83" s="300"/>
      <c r="N83" s="301"/>
      <c r="O83" s="301"/>
      <c r="P83" s="301"/>
      <c r="Q83" s="301"/>
      <c r="R83" s="299"/>
      <c r="S83" s="69"/>
      <c r="T83" s="69"/>
      <c r="U83" s="69"/>
      <c r="V83" s="69"/>
      <c r="W83" s="242"/>
    </row>
    <row r="84" customFormat="false" ht="15.75" hidden="true" customHeight="false" outlineLevel="0" collapsed="false">
      <c r="A84" s="294"/>
      <c r="B84" s="294"/>
      <c r="C84" s="294"/>
      <c r="D84" s="295"/>
      <c r="E84" s="296"/>
      <c r="F84" s="297"/>
      <c r="G84" s="133"/>
      <c r="H84" s="139"/>
      <c r="I84" s="69"/>
      <c r="J84" s="298"/>
      <c r="K84" s="69"/>
      <c r="L84" s="300"/>
      <c r="M84" s="300"/>
      <c r="N84" s="301"/>
      <c r="O84" s="301"/>
      <c r="P84" s="301"/>
      <c r="Q84" s="301"/>
      <c r="R84" s="299"/>
      <c r="S84" s="69"/>
      <c r="T84" s="69"/>
      <c r="U84" s="69"/>
      <c r="V84" s="69"/>
      <c r="W84" s="242"/>
    </row>
    <row r="85" customFormat="false" ht="15.75" hidden="true" customHeight="false" outlineLevel="0" collapsed="false">
      <c r="A85" s="294"/>
      <c r="B85" s="294"/>
      <c r="C85" s="294"/>
      <c r="D85" s="295"/>
      <c r="E85" s="296"/>
      <c r="F85" s="297"/>
      <c r="G85" s="133"/>
      <c r="H85" s="134"/>
      <c r="I85" s="69"/>
      <c r="J85" s="298"/>
      <c r="K85" s="69"/>
      <c r="L85" s="300"/>
      <c r="M85" s="300"/>
      <c r="N85" s="301"/>
      <c r="O85" s="301"/>
      <c r="P85" s="301"/>
      <c r="Q85" s="301"/>
      <c r="R85" s="299"/>
      <c r="S85" s="69"/>
      <c r="T85" s="69"/>
      <c r="U85" s="69"/>
      <c r="V85" s="69"/>
      <c r="W85" s="242"/>
    </row>
    <row r="86" customFormat="false" ht="15.75" hidden="true" customHeight="false" outlineLevel="0" collapsed="false">
      <c r="A86" s="294"/>
      <c r="B86" s="294"/>
      <c r="C86" s="294"/>
      <c r="D86" s="295"/>
      <c r="E86" s="296"/>
      <c r="F86" s="297"/>
      <c r="G86" s="133"/>
      <c r="H86" s="139"/>
      <c r="I86" s="69"/>
      <c r="J86" s="298"/>
      <c r="K86" s="69"/>
      <c r="L86" s="300"/>
      <c r="M86" s="300"/>
      <c r="N86" s="301"/>
      <c r="O86" s="301"/>
      <c r="P86" s="301"/>
      <c r="Q86" s="301"/>
      <c r="R86" s="299"/>
      <c r="S86" s="69"/>
      <c r="T86" s="69"/>
      <c r="U86" s="69"/>
      <c r="V86" s="69"/>
      <c r="W86" s="242"/>
    </row>
    <row r="87" customFormat="false" ht="15.75" hidden="true" customHeight="false" outlineLevel="0" collapsed="false">
      <c r="A87" s="294"/>
      <c r="B87" s="294"/>
      <c r="C87" s="294"/>
      <c r="D87" s="295"/>
      <c r="E87" s="296"/>
      <c r="F87" s="297"/>
      <c r="G87" s="196"/>
      <c r="H87" s="197"/>
      <c r="I87" s="69"/>
      <c r="J87" s="298"/>
      <c r="K87" s="69"/>
      <c r="L87" s="300"/>
      <c r="M87" s="300"/>
      <c r="N87" s="301"/>
      <c r="O87" s="301"/>
      <c r="P87" s="301"/>
      <c r="Q87" s="301"/>
      <c r="R87" s="299"/>
      <c r="S87" s="69"/>
      <c r="T87" s="69"/>
      <c r="U87" s="69"/>
      <c r="V87" s="69"/>
      <c r="W87" s="242"/>
    </row>
    <row r="88" customFormat="false" ht="15.75" hidden="true" customHeight="false" outlineLevel="0" collapsed="false">
      <c r="A88" s="294"/>
      <c r="B88" s="294"/>
      <c r="C88" s="294"/>
      <c r="D88" s="295"/>
      <c r="E88" s="296"/>
      <c r="F88" s="297"/>
      <c r="G88" s="302"/>
      <c r="H88" s="302"/>
      <c r="I88" s="69"/>
      <c r="J88" s="298"/>
      <c r="K88" s="69"/>
      <c r="L88" s="300"/>
      <c r="M88" s="300"/>
      <c r="N88" s="301"/>
      <c r="O88" s="301"/>
      <c r="P88" s="301"/>
      <c r="Q88" s="301"/>
      <c r="R88" s="299"/>
      <c r="S88" s="69"/>
      <c r="T88" s="69"/>
      <c r="U88" s="69"/>
      <c r="V88" s="69"/>
      <c r="W88" s="242"/>
    </row>
    <row r="89" customFormat="false" ht="15.75" hidden="true" customHeight="false" outlineLevel="0" collapsed="false">
      <c r="A89" s="294"/>
      <c r="B89" s="294"/>
      <c r="C89" s="294"/>
      <c r="D89" s="295"/>
      <c r="E89" s="296"/>
      <c r="F89" s="297"/>
      <c r="G89" s="302"/>
      <c r="H89" s="302"/>
      <c r="I89" s="69"/>
      <c r="J89" s="298"/>
      <c r="K89" s="69"/>
      <c r="L89" s="300"/>
      <c r="M89" s="300"/>
      <c r="N89" s="301"/>
      <c r="O89" s="301"/>
      <c r="P89" s="301"/>
      <c r="Q89" s="301"/>
      <c r="R89" s="299"/>
      <c r="S89" s="69"/>
      <c r="T89" s="69"/>
      <c r="U89" s="69"/>
      <c r="V89" s="69"/>
      <c r="W89" s="242"/>
    </row>
    <row r="90" customFormat="false" ht="15.75" hidden="true" customHeight="false" outlineLevel="0" collapsed="false">
      <c r="A90" s="294"/>
      <c r="B90" s="294"/>
      <c r="C90" s="294"/>
      <c r="D90" s="295"/>
      <c r="E90" s="296"/>
      <c r="F90" s="297"/>
      <c r="G90" s="302"/>
      <c r="H90" s="302"/>
      <c r="I90" s="69"/>
      <c r="J90" s="298"/>
      <c r="K90" s="69"/>
      <c r="L90" s="300"/>
      <c r="M90" s="300"/>
      <c r="N90" s="301"/>
      <c r="O90" s="301"/>
      <c r="P90" s="301"/>
      <c r="Q90" s="301"/>
      <c r="R90" s="299"/>
      <c r="S90" s="69"/>
      <c r="T90" s="69"/>
      <c r="U90" s="69"/>
      <c r="V90" s="69"/>
      <c r="W90" s="242"/>
    </row>
    <row r="91" customFormat="false" ht="15.75" hidden="true" customHeight="false" outlineLevel="0" collapsed="false">
      <c r="A91" s="294"/>
      <c r="B91" s="294"/>
      <c r="C91" s="294"/>
      <c r="D91" s="295"/>
      <c r="E91" s="296"/>
      <c r="F91" s="297"/>
      <c r="G91" s="302"/>
      <c r="H91" s="302"/>
      <c r="I91" s="69"/>
      <c r="J91" s="298"/>
      <c r="K91" s="69"/>
      <c r="L91" s="300"/>
      <c r="M91" s="300"/>
      <c r="N91" s="301"/>
      <c r="O91" s="301"/>
      <c r="P91" s="301"/>
      <c r="Q91" s="301"/>
      <c r="R91" s="299"/>
      <c r="S91" s="69"/>
      <c r="T91" s="69"/>
      <c r="U91" s="69"/>
      <c r="V91" s="69"/>
      <c r="W91" s="242"/>
    </row>
    <row r="92" customFormat="false" ht="15.75" hidden="true" customHeight="false" outlineLevel="0" collapsed="false">
      <c r="A92" s="294"/>
      <c r="B92" s="294"/>
      <c r="C92" s="294"/>
      <c r="D92" s="295"/>
      <c r="E92" s="296"/>
      <c r="F92" s="297"/>
      <c r="G92" s="302"/>
      <c r="H92" s="302"/>
      <c r="I92" s="69"/>
      <c r="J92" s="298"/>
      <c r="K92" s="69"/>
      <c r="L92" s="300"/>
      <c r="M92" s="300"/>
      <c r="N92" s="301"/>
      <c r="O92" s="301"/>
      <c r="P92" s="301"/>
      <c r="Q92" s="301"/>
      <c r="R92" s="299"/>
      <c r="S92" s="69"/>
      <c r="T92" s="69"/>
      <c r="U92" s="69"/>
      <c r="V92" s="69"/>
      <c r="W92" s="242"/>
    </row>
    <row r="93" customFormat="false" ht="15.75" hidden="true" customHeight="false" outlineLevel="0" collapsed="false">
      <c r="A93" s="294"/>
      <c r="B93" s="294"/>
      <c r="C93" s="294"/>
      <c r="D93" s="295"/>
      <c r="E93" s="296"/>
      <c r="F93" s="297"/>
      <c r="G93" s="302"/>
      <c r="H93" s="302"/>
      <c r="I93" s="69"/>
      <c r="J93" s="298"/>
      <c r="K93" s="69"/>
      <c r="L93" s="300"/>
      <c r="M93" s="300"/>
      <c r="N93" s="301"/>
      <c r="O93" s="301"/>
      <c r="P93" s="301"/>
      <c r="Q93" s="301"/>
      <c r="R93" s="299"/>
      <c r="S93" s="69"/>
      <c r="T93" s="69"/>
      <c r="U93" s="69"/>
      <c r="V93" s="69"/>
      <c r="W93" s="242"/>
    </row>
    <row r="94" customFormat="false" ht="15.75" hidden="false" customHeight="false" outlineLevel="0" collapsed="false">
      <c r="A94" s="294"/>
      <c r="B94" s="294"/>
      <c r="C94" s="294"/>
      <c r="D94" s="295"/>
      <c r="E94" s="296"/>
      <c r="F94" s="297"/>
      <c r="G94" s="302"/>
      <c r="H94" s="302"/>
      <c r="I94" s="69"/>
      <c r="J94" s="298"/>
      <c r="K94" s="69"/>
      <c r="L94" s="300"/>
      <c r="M94" s="300"/>
      <c r="N94" s="301"/>
      <c r="O94" s="301"/>
      <c r="P94" s="301"/>
      <c r="Q94" s="301"/>
      <c r="R94" s="299"/>
      <c r="S94" s="69"/>
      <c r="T94" s="69"/>
      <c r="U94" s="69"/>
      <c r="V94" s="69"/>
      <c r="W94" s="242"/>
    </row>
    <row r="95" customFormat="false" ht="15.75" hidden="false" customHeight="false" outlineLevel="0" collapsed="false">
      <c r="A95" s="294"/>
      <c r="B95" s="294"/>
      <c r="C95" s="294" t="s">
        <v>292</v>
      </c>
      <c r="D95" s="295"/>
      <c r="E95" s="296"/>
      <c r="F95" s="297"/>
      <c r="G95" s="302"/>
      <c r="H95" s="302"/>
      <c r="I95" s="69"/>
      <c r="J95" s="298"/>
      <c r="K95" s="69"/>
      <c r="L95" s="300"/>
      <c r="M95" s="300"/>
      <c r="N95" s="301"/>
      <c r="O95" s="301"/>
      <c r="P95" s="301"/>
      <c r="Q95" s="301"/>
      <c r="R95" s="299"/>
      <c r="S95" s="69"/>
      <c r="T95" s="69"/>
      <c r="U95" s="69"/>
      <c r="V95" s="69"/>
      <c r="W95" s="242"/>
    </row>
    <row r="96" customFormat="false" ht="15.75" hidden="false" customHeight="false" outlineLevel="0" collapsed="false">
      <c r="A96" s="458" t="str">
        <f aca="false">IFERROR(__xludf.dummyfunction("Query(A3:W37, ""where A = TRUE"",1)"),"")</f>
        <v/>
      </c>
      <c r="B96" s="458" t="str">
        <f aca="false">IFERROR(__xludf.dummyfunction("""COMPUTED_VALUE"""),"TRUE")</f>
        <v>TRUE</v>
      </c>
      <c r="C96" s="294" t="str">
        <f aca="false">IFERROR(__xludf.dummyfunction("""COMPUTED_VALUE"""),"Voigtlander 50mm F2 APO-Lanthar")</f>
        <v>Voigtlander 50mm F2 APO-Lanthar</v>
      </c>
      <c r="D96" s="295" t="str">
        <f aca="false">IFERROR(__xludf.dummyfunction("""COMPUTED_VALUE"""),"364g")</f>
        <v>364g</v>
      </c>
      <c r="E96" s="296" t="str">
        <f aca="false">IFERROR(__xludf.dummyfunction("""COMPUTED_VALUE"""),"50mm")</f>
        <v>50mm</v>
      </c>
      <c r="F96" s="297" t="str">
        <f aca="false">IFERROR(__xludf.dummyfunction("""COMPUTED_VALUE"""),"f/2.0")</f>
        <v>f/2.0</v>
      </c>
      <c r="G96" s="302" t="str">
        <f aca="false">IFERROR(__xludf.dummyfunction("""COMPUTED_VALUE"""),"63mm")</f>
        <v>63mm</v>
      </c>
      <c r="H96" s="302" t="str">
        <f aca="false">IFERROR(__xludf.dummyfunction("""COMPUTED_VALUE"""),"61mm")</f>
        <v>61mm</v>
      </c>
      <c r="I96" s="69" t="str">
        <f aca="false">IFERROR(__xludf.dummyfunction("""COMPUTED_VALUE"""),"MF")</f>
        <v>MF</v>
      </c>
      <c r="J96" s="298" t="str">
        <f aca="false">IFERROR(__xludf.dummyfunction("""COMPUTED_VALUE"""),"49mm")</f>
        <v>49mm</v>
      </c>
      <c r="K96" s="69" t="str">
        <f aca="false">IFERROR(__xludf.dummyfunction("""COMPUTED_VALUE"""),"")</f>
        <v/>
      </c>
      <c r="L96" s="300" t="str">
        <f aca="false">IFERROR(__xludf.dummyfunction("""COMPUTED_VALUE"""),"$45")</f>
        <v>$45</v>
      </c>
      <c r="M96" s="300" t="str">
        <f aca="false">IFERROR(__xludf.dummyfunction("""COMPUTED_VALUE"""),"no")</f>
        <v>no</v>
      </c>
      <c r="N96" s="301" t="str">
        <f aca="false">IFERROR(__xludf.dummyfunction("""COMPUTED_VALUE"""),"12")</f>
        <v>12</v>
      </c>
      <c r="O96" s="301" t="str">
        <f aca="false">IFERROR(__xludf.dummyfunction("""COMPUTED_VALUE"""),"10/8")</f>
        <v>10/8</v>
      </c>
      <c r="P96" s="301" t="str">
        <f aca="false">IFERROR(__xludf.dummyfunction("""COMPUTED_VALUE"""),"Voigtlander")</f>
        <v>Voigtlander</v>
      </c>
      <c r="Q96" s="301" t="str">
        <f aca="false">IFERROR(__xludf.dummyfunction("""COMPUTED_VALUE"""),"01/20")</f>
        <v>01/20</v>
      </c>
      <c r="R96" s="299" t="str">
        <f aca="false">IFERROR(__xludf.dummyfunction("""COMPUTED_VALUE"""),"")</f>
        <v/>
      </c>
      <c r="S96" s="69" t="str">
        <f aca="false">IFERROR(__xludf.dummyfunction("""COMPUTED_VALUE"""),"")</f>
        <v/>
      </c>
      <c r="T96" s="69" t="str">
        <f aca="false">IFERROR(__xludf.dummyfunction("""COMPUTED_VALUE"""),"")</f>
        <v/>
      </c>
      <c r="U96" s="69" t="str">
        <f aca="false">IFERROR(__xludf.dummyfunction("""COMPUTED_VALUE"""),"")</f>
        <v/>
      </c>
      <c r="V96" s="69" t="str">
        <f aca="false">IFERROR(__xludf.dummyfunction("""COMPUTED_VALUE"""),"")</f>
        <v/>
      </c>
      <c r="W96" s="242" t="str">
        <f aca="false">IFERROR(__xludf.dummyfunction("""COMPUTED_VALUE"""),"")</f>
        <v/>
      </c>
    </row>
    <row r="97" customFormat="false" ht="15.75" hidden="false" customHeight="false" outlineLevel="0" collapsed="false">
      <c r="A97" s="454" t="b">
        <f aca="false">IFERROR(__xludf.dummyfunction("""COMPUTED_VALUE"""),TRUE())</f>
        <v>1</v>
      </c>
      <c r="B97" s="454" t="b">
        <f aca="false">IFERROR(__xludf.dummyfunction("""COMPUTED_VALUE"""),FALSE())</f>
        <v>0</v>
      </c>
      <c r="C97" s="294" t="str">
        <f aca="false">IFERROR(__xludf.dummyfunction("""COMPUTED_VALUE"""),"Zeiss Loxia 50mm F2")</f>
        <v>Zeiss Loxia 50mm F2</v>
      </c>
      <c r="D97" s="295" t="n">
        <f aca="false">IFERROR(__xludf.dummyfunction("""COMPUTED_VALUE"""),320)</f>
        <v>320</v>
      </c>
      <c r="E97" s="296" t="n">
        <f aca="false">IFERROR(__xludf.dummyfunction("""COMPUTED_VALUE"""),50)</f>
        <v>50</v>
      </c>
      <c r="F97" s="297" t="n">
        <f aca="false">IFERROR(__xludf.dummyfunction("""COMPUTED_VALUE"""),2)</f>
        <v>2</v>
      </c>
      <c r="G97" s="302" t="n">
        <f aca="false">IFERROR(__xludf.dummyfunction("""COMPUTED_VALUE"""),62)</f>
        <v>62</v>
      </c>
      <c r="H97" s="302" t="n">
        <f aca="false">IFERROR(__xludf.dummyfunction("""COMPUTED_VALUE"""),60)</f>
        <v>60</v>
      </c>
      <c r="I97" s="69" t="str">
        <f aca="false">IFERROR(__xludf.dummyfunction("""COMPUTED_VALUE"""),"MF")</f>
        <v>MF</v>
      </c>
      <c r="J97" s="298" t="str">
        <f aca="false">IFERROR(__xludf.dummyfunction("""COMPUTED_VALUE"""),"52mm")</f>
        <v>52mm</v>
      </c>
      <c r="K97" s="69" t="n">
        <f aca="false">IFERROR(__xludf.dummyfunction("""COMPUTED_VALUE"""),0.15)</f>
        <v>0.15</v>
      </c>
      <c r="L97" s="300" t="n">
        <f aca="false">IFERROR(__xludf.dummyfunction("""COMPUTED_VALUE"""),45)</f>
        <v>45</v>
      </c>
      <c r="M97" s="300" t="str">
        <f aca="false">IFERROR(__xludf.dummyfunction("""COMPUTED_VALUE"""),"no")</f>
        <v>no</v>
      </c>
      <c r="N97" s="301" t="n">
        <f aca="false">IFERROR(__xludf.dummyfunction("""COMPUTED_VALUE"""),10)</f>
        <v>10</v>
      </c>
      <c r="O97" s="472" t="n">
        <f aca="false">IFERROR(__xludf.dummyfunction("""COMPUTED_VALUE"""),43561)</f>
        <v>43561</v>
      </c>
      <c r="P97" s="301" t="str">
        <f aca="false">IFERROR(__xludf.dummyfunction("""COMPUTED_VALUE"""),"Zeiss")</f>
        <v>Zeiss</v>
      </c>
      <c r="Q97" s="473" t="n">
        <f aca="false">IFERROR(__xludf.dummyfunction("""COMPUTED_VALUE"""),41913)</f>
        <v>41913</v>
      </c>
      <c r="R97" s="299" t="n">
        <f aca="false">IFERROR(__xludf.dummyfunction("""COMPUTED_VALUE"""),949)</f>
        <v>949</v>
      </c>
      <c r="S97" s="69" t="n">
        <f aca="false">IFERROR(__xludf.dummyfunction("""COMPUTED_VALUE"""),500)</f>
        <v>500</v>
      </c>
      <c r="T97" s="69" t="str">
        <f aca="false">IFERROR(__xludf.dummyfunction("""COMPUTED_VALUE"""),"link*")</f>
        <v>link*</v>
      </c>
      <c r="U97" s="69" t="str">
        <f aca="false">IFERROR(__xludf.dummyfunction("""COMPUTED_VALUE"""),"link*")</f>
        <v>link*</v>
      </c>
      <c r="V97" s="69" t="str">
        <f aca="false">IFERROR(__xludf.dummyfunction("""COMPUTED_VALUE"""),"link*")</f>
        <v>link*</v>
      </c>
      <c r="W97" s="242" t="str">
        <f aca="false">IFERROR(__xludf.dummyfunction("""COMPUTED_VALUE"""),"link*")</f>
        <v>link*</v>
      </c>
    </row>
    <row r="98" customFormat="false" ht="15.75" hidden="false" customHeight="false" outlineLevel="0" collapsed="false">
      <c r="A98" s="294"/>
      <c r="B98" s="294"/>
      <c r="C98" s="294"/>
      <c r="D98" s="295"/>
      <c r="E98" s="296"/>
      <c r="F98" s="297"/>
      <c r="G98" s="302"/>
      <c r="H98" s="302"/>
      <c r="I98" s="69"/>
      <c r="J98" s="298"/>
      <c r="K98" s="69"/>
      <c r="L98" s="300"/>
      <c r="M98" s="300"/>
      <c r="N98" s="301"/>
      <c r="O98" s="301"/>
      <c r="P98" s="301"/>
      <c r="Q98" s="301"/>
      <c r="R98" s="299"/>
      <c r="S98" s="69"/>
      <c r="T98" s="69"/>
      <c r="U98" s="69"/>
      <c r="V98" s="69"/>
      <c r="W98" s="242"/>
    </row>
    <row r="99" customFormat="false" ht="15.75" hidden="false" customHeight="false" outlineLevel="0" collapsed="false">
      <c r="A99" s="294"/>
      <c r="B99" s="294"/>
      <c r="C99" s="294"/>
      <c r="D99" s="295"/>
      <c r="E99" s="296"/>
      <c r="F99" s="297"/>
      <c r="G99" s="302"/>
      <c r="H99" s="302"/>
      <c r="I99" s="69"/>
      <c r="J99" s="298"/>
      <c r="K99" s="69"/>
      <c r="L99" s="300"/>
      <c r="M99" s="300"/>
      <c r="N99" s="301"/>
      <c r="O99" s="301"/>
      <c r="P99" s="301"/>
      <c r="Q99" s="301"/>
      <c r="R99" s="299"/>
      <c r="S99" s="69"/>
      <c r="T99" s="69"/>
      <c r="U99" s="69"/>
      <c r="V99" s="69"/>
      <c r="W99" s="242"/>
    </row>
    <row r="100" customFormat="false" ht="15.75" hidden="false" customHeight="false" outlineLevel="0" collapsed="false">
      <c r="A100" s="294"/>
      <c r="B100" s="294"/>
      <c r="C100" s="294"/>
      <c r="D100" s="295"/>
      <c r="E100" s="296"/>
      <c r="F100" s="297"/>
      <c r="G100" s="302"/>
      <c r="H100" s="302"/>
      <c r="I100" s="69"/>
      <c r="J100" s="298"/>
      <c r="K100" s="69"/>
      <c r="L100" s="300"/>
      <c r="M100" s="300"/>
      <c r="N100" s="301"/>
      <c r="O100" s="301"/>
      <c r="P100" s="301"/>
      <c r="Q100" s="301"/>
      <c r="R100" s="299"/>
      <c r="S100" s="69"/>
      <c r="T100" s="69"/>
      <c r="U100" s="69"/>
      <c r="V100" s="69"/>
      <c r="W100" s="242"/>
    </row>
    <row r="101" customFormat="false" ht="15.75" hidden="false" customHeight="false" outlineLevel="0" collapsed="false">
      <c r="A101" s="294"/>
      <c r="B101" s="294"/>
      <c r="C101" s="294"/>
      <c r="D101" s="295"/>
      <c r="E101" s="296"/>
      <c r="F101" s="297"/>
      <c r="G101" s="302"/>
      <c r="H101" s="302"/>
      <c r="I101" s="69"/>
      <c r="J101" s="298"/>
      <c r="K101" s="69"/>
      <c r="L101" s="300"/>
      <c r="M101" s="300"/>
      <c r="N101" s="301"/>
      <c r="O101" s="301"/>
      <c r="P101" s="301"/>
      <c r="Q101" s="301"/>
      <c r="R101" s="299"/>
      <c r="S101" s="69"/>
      <c r="T101" s="69"/>
      <c r="U101" s="69"/>
      <c r="V101" s="69"/>
      <c r="W101" s="242"/>
    </row>
    <row r="102" customFormat="false" ht="15.75" hidden="false" customHeight="false" outlineLevel="0" collapsed="false">
      <c r="A102" s="294"/>
      <c r="B102" s="294"/>
      <c r="C102" s="294"/>
      <c r="D102" s="295"/>
      <c r="E102" s="296"/>
      <c r="F102" s="297"/>
      <c r="G102" s="302"/>
      <c r="H102" s="302"/>
      <c r="I102" s="69"/>
      <c r="J102" s="298"/>
      <c r="K102" s="69"/>
      <c r="L102" s="300"/>
      <c r="M102" s="300"/>
      <c r="N102" s="301"/>
      <c r="O102" s="301"/>
      <c r="P102" s="301"/>
      <c r="Q102" s="301"/>
      <c r="R102" s="299"/>
      <c r="S102" s="69"/>
      <c r="T102" s="69"/>
      <c r="U102" s="69"/>
      <c r="V102" s="69"/>
      <c r="W102" s="242"/>
    </row>
    <row r="103" customFormat="false" ht="15.75" hidden="false" customHeight="false" outlineLevel="0" collapsed="false">
      <c r="A103" s="294"/>
      <c r="B103" s="294"/>
      <c r="C103" s="294"/>
      <c r="D103" s="295"/>
      <c r="E103" s="296"/>
      <c r="F103" s="297"/>
      <c r="G103" s="302"/>
      <c r="H103" s="302"/>
      <c r="I103" s="69"/>
      <c r="J103" s="298"/>
      <c r="K103" s="69"/>
      <c r="L103" s="300"/>
      <c r="M103" s="300"/>
      <c r="N103" s="301"/>
      <c r="O103" s="301"/>
      <c r="P103" s="301"/>
      <c r="Q103" s="301"/>
      <c r="R103" s="299"/>
      <c r="S103" s="69"/>
      <c r="T103" s="69"/>
      <c r="U103" s="69"/>
      <c r="V103" s="69"/>
      <c r="W103" s="242"/>
    </row>
    <row r="104" customFormat="false" ht="15.75" hidden="false" customHeight="false" outlineLevel="0" collapsed="false">
      <c r="A104" s="294"/>
      <c r="B104" s="294"/>
      <c r="C104" s="294"/>
      <c r="D104" s="295"/>
      <c r="E104" s="296"/>
      <c r="F104" s="297"/>
      <c r="G104" s="302"/>
      <c r="H104" s="302"/>
      <c r="I104" s="69"/>
      <c r="J104" s="298"/>
      <c r="K104" s="69"/>
      <c r="L104" s="300"/>
      <c r="M104" s="300"/>
      <c r="N104" s="301"/>
      <c r="O104" s="301"/>
      <c r="P104" s="301"/>
      <c r="Q104" s="301"/>
      <c r="R104" s="299"/>
      <c r="S104" s="69"/>
      <c r="T104" s="69"/>
      <c r="U104" s="69"/>
      <c r="V104" s="69"/>
      <c r="W104" s="242"/>
    </row>
    <row r="105" customFormat="false" ht="15.75" hidden="false" customHeight="false" outlineLevel="0" collapsed="false">
      <c r="A105" s="303"/>
      <c r="B105" s="303"/>
      <c r="C105" s="303" t="s">
        <v>180</v>
      </c>
      <c r="D105" s="304"/>
      <c r="E105" s="303"/>
      <c r="F105" s="303"/>
      <c r="G105" s="305"/>
      <c r="H105" s="306"/>
      <c r="I105" s="303"/>
      <c r="J105" s="307"/>
      <c r="K105" s="303"/>
      <c r="L105" s="303"/>
      <c r="M105" s="303"/>
      <c r="N105" s="308"/>
      <c r="O105" s="308"/>
      <c r="P105" s="308"/>
      <c r="Q105" s="308"/>
      <c r="R105" s="303"/>
      <c r="S105" s="303"/>
      <c r="T105" s="303"/>
      <c r="U105" s="303"/>
      <c r="V105" s="303"/>
      <c r="W105" s="303"/>
    </row>
    <row r="106" customFormat="false" ht="15.75" hidden="false" customHeight="false" outlineLevel="0" collapsed="false">
      <c r="A106" s="69"/>
      <c r="B106" s="69"/>
      <c r="C106" s="69" t="s">
        <v>181</v>
      </c>
      <c r="D106" s="309" t="n">
        <f aca="false">COUNT(D2:D93)</f>
        <v>4</v>
      </c>
      <c r="F106" s="69"/>
      <c r="G106" s="302"/>
      <c r="H106" s="310"/>
      <c r="I106" s="69"/>
      <c r="J106" s="298"/>
      <c r="K106" s="69"/>
      <c r="L106" s="69"/>
      <c r="M106" s="69"/>
      <c r="N106" s="301"/>
      <c r="O106" s="301"/>
      <c r="P106" s="301"/>
      <c r="Q106" s="301"/>
      <c r="R106" s="69"/>
      <c r="S106" s="69"/>
      <c r="T106" s="69"/>
      <c r="U106" s="69"/>
      <c r="V106" s="69"/>
    </row>
    <row r="107" customFormat="false" ht="15.75" hidden="false" customHeight="false" outlineLevel="0" collapsed="false">
      <c r="A107" s="311"/>
      <c r="B107" s="311"/>
      <c r="C107" s="311" t="s">
        <v>293</v>
      </c>
      <c r="G107" s="302"/>
      <c r="H107" s="310"/>
      <c r="J107" s="298"/>
    </row>
    <row r="108" customFormat="false" ht="15.75" hidden="false" customHeight="false" outlineLevel="0" collapsed="false">
      <c r="A108" s="294"/>
      <c r="B108" s="294"/>
      <c r="C108" s="294"/>
      <c r="D108" s="69"/>
      <c r="E108" s="69"/>
      <c r="F108" s="69"/>
      <c r="G108" s="302"/>
      <c r="H108" s="310"/>
      <c r="I108" s="69"/>
      <c r="J108" s="298"/>
      <c r="K108" s="69"/>
      <c r="L108" s="69"/>
      <c r="M108" s="69"/>
      <c r="N108" s="301"/>
      <c r="O108" s="301"/>
      <c r="P108" s="301"/>
      <c r="Q108" s="301"/>
      <c r="R108" s="69"/>
      <c r="S108" s="69"/>
      <c r="T108" s="69"/>
      <c r="U108" s="69"/>
      <c r="V108" s="69"/>
      <c r="W108" s="69"/>
    </row>
    <row r="109" customFormat="false" ht="15.75" hidden="false" customHeight="false" outlineLevel="0" collapsed="false">
      <c r="A109" s="459"/>
      <c r="B109" s="459"/>
      <c r="C109" s="312" t="str">
        <f aca="false">HYPERLINK("https://phillipreeve.net/blog/sony-fe-lenses/fe-list/","If you have a question or want to report any mistake please leave a comment on the blog.")</f>
        <v>If you have a question or want to report any mistake please leave a comment on the blog.</v>
      </c>
      <c r="D109" s="313"/>
      <c r="E109" s="313"/>
      <c r="F109" s="313"/>
      <c r="G109" s="314"/>
      <c r="H109" s="315"/>
      <c r="I109" s="313"/>
      <c r="J109" s="316"/>
      <c r="K109" s="313"/>
      <c r="L109" s="313"/>
      <c r="M109" s="313"/>
      <c r="N109" s="301"/>
      <c r="O109" s="301"/>
      <c r="P109" s="301"/>
      <c r="Q109" s="301"/>
    </row>
    <row r="110" customFormat="false" ht="15.75" hidden="false" customHeight="false" outlineLevel="0" collapsed="false">
      <c r="G110" s="302"/>
    </row>
    <row r="111" customFormat="false" ht="15.75" hidden="false" customHeight="false" outlineLevel="0" collapsed="false">
      <c r="A111" s="294"/>
      <c r="B111" s="294"/>
      <c r="C111" s="294" t="s">
        <v>183</v>
      </c>
      <c r="G111" s="302"/>
      <c r="H111" s="310"/>
      <c r="J111" s="298"/>
    </row>
    <row r="112" customFormat="false" ht="15.75" hidden="false" customHeight="false" outlineLevel="0" collapsed="false">
      <c r="A112" s="69"/>
      <c r="B112" s="69"/>
      <c r="C112" s="317" t="str">
        <f aca="false">HYPERLINK("https://phillipreeve.net/blog/fe-lenses-sony-comprehensive-independent-guide/","Our Guide to FE-mount lenses - If you need any help on finding the right lens.")</f>
        <v>Our Guide to FE-mount lenses - If you need any help on finding the right lens.</v>
      </c>
      <c r="G112" s="302"/>
      <c r="H112" s="310"/>
      <c r="J112" s="298"/>
    </row>
    <row r="113" customFormat="false" ht="15.75" hidden="false" customHeight="false" outlineLevel="0" collapsed="false">
      <c r="A113" s="69"/>
      <c r="B113" s="69"/>
      <c r="C113" s="317" t="str">
        <f aca="false">HYPERLINK("https://phillipreeve.net/blog/9-golden-rules-to-buy-the-wrong-lens/","10 golden rules to buy the wrong lens.")</f>
        <v>10 golden rules to buy the wrong lens.</v>
      </c>
      <c r="G113" s="302"/>
      <c r="H113" s="310"/>
      <c r="J113" s="298"/>
    </row>
    <row r="114" customFormat="false" ht="15.75" hidden="false" customHeight="false" outlineLevel="0" collapsed="false">
      <c r="A114" s="69"/>
      <c r="B114" s="69"/>
      <c r="C114" s="317" t="str">
        <f aca="false">HYPERLINK("https://phillipreeve.net/blog/user-guide-ultra-wideangle-lenses-sony-alpha-7-series/","Our Guide to Ultra-Wideangle lenses")</f>
        <v>Our Guide to Ultra-Wideangle lenses</v>
      </c>
      <c r="G114" s="302"/>
      <c r="H114" s="310"/>
      <c r="J114" s="298"/>
    </row>
    <row r="115" customFormat="false" ht="15.75" hidden="false" customHeight="false" outlineLevel="0" collapsed="false">
      <c r="A115" s="69"/>
      <c r="B115" s="69"/>
      <c r="C115" s="317" t="str">
        <f aca="false">HYPERLINK("https://phillipreeve.net/blog/wideangle-lenses-for-the-sony-alpha-7-series/","Our Guide to Wideangle lenses")</f>
        <v>Our Guide to Wideangle lenses</v>
      </c>
      <c r="G115" s="302"/>
      <c r="H115" s="310"/>
      <c r="J115" s="298"/>
    </row>
    <row r="116" customFormat="false" ht="15.75" hidden="false" customHeight="false" outlineLevel="0" collapsed="false">
      <c r="A116" s="69"/>
      <c r="B116" s="69"/>
      <c r="C116" s="317" t="str">
        <f aca="false">HYPERLINK("https://phillipreeve.net/blog/guide-to-macro-lenses-for-the-sony-a7-series/","Our Guide to Macro lenses")</f>
        <v>Our Guide to Macro lenses</v>
      </c>
      <c r="G116" s="302"/>
      <c r="H116" s="310"/>
      <c r="J116" s="298"/>
    </row>
    <row r="117" customFormat="false" ht="15.75" hidden="false" customHeight="false" outlineLevel="0" collapsed="false">
      <c r="A117" s="69"/>
      <c r="B117" s="69"/>
      <c r="C117" s="317" t="str">
        <f aca="false">HYPERLINK("https://phillipreeve.net/blog/user-guide-to-portrait-lenses-sony-a7-series/","Our Guide to Portrait lenses")</f>
        <v>Our Guide to Portrait lenses</v>
      </c>
      <c r="G117" s="302"/>
      <c r="H117" s="310"/>
      <c r="J117" s="298"/>
    </row>
    <row r="118" customFormat="false" ht="15.75" hidden="false" customHeight="false" outlineLevel="0" collapsed="false">
      <c r="A118" s="69"/>
      <c r="B118" s="69"/>
      <c r="C118" s="317" t="str">
        <f aca="false">HYPERLINK("https://phillipreeve.net/blog/building-a-lens-kit/","Building a lens kit")</f>
        <v>Building a lens kit</v>
      </c>
      <c r="G118" s="302"/>
      <c r="H118" s="310"/>
      <c r="J118" s="298"/>
    </row>
    <row r="119" customFormat="false" ht="15.75" hidden="false" customHeight="false" outlineLevel="0" collapsed="false">
      <c r="A119" s="69"/>
      <c r="B119" s="69"/>
      <c r="C119" s="69"/>
    </row>
    <row r="120" customFormat="false" ht="15.75" hidden="false" customHeight="false" outlineLevel="0" collapsed="false">
      <c r="A120" s="294"/>
      <c r="B120" s="294"/>
      <c r="C120" s="294" t="s">
        <v>186</v>
      </c>
    </row>
    <row r="121" customFormat="false" ht="15.75" hidden="false" customHeight="false" outlineLevel="0" collapsed="false">
      <c r="A121" s="69"/>
      <c r="B121" s="69"/>
      <c r="C121" s="69" t="s">
        <v>187</v>
      </c>
    </row>
    <row r="122" customFormat="false" ht="15.75" hidden="false" customHeight="false" outlineLevel="0" collapsed="false">
      <c r="A122" s="69"/>
      <c r="B122" s="69"/>
      <c r="C122" s="69" t="s">
        <v>188</v>
      </c>
    </row>
    <row r="123" customFormat="false" ht="15.75" hidden="false" customHeight="false" outlineLevel="0" collapsed="false">
      <c r="A123" s="69"/>
      <c r="B123" s="69"/>
      <c r="C123" s="69" t="s">
        <v>189</v>
      </c>
    </row>
    <row r="124" customFormat="false" ht="15.75" hidden="false" customHeight="false" outlineLevel="0" collapsed="false">
      <c r="A124" s="69"/>
      <c r="B124" s="69"/>
      <c r="C124" s="69" t="s">
        <v>190</v>
      </c>
    </row>
    <row r="125" customFormat="false" ht="15.75" hidden="false" customHeight="false" outlineLevel="0" collapsed="false">
      <c r="A125" s="294"/>
      <c r="B125" s="294"/>
      <c r="C125" s="294"/>
    </row>
    <row r="126" customFormat="false" ht="15.75" hidden="false" customHeight="false" outlineLevel="0" collapsed="false">
      <c r="A126" s="294"/>
      <c r="B126" s="294"/>
      <c r="C126" s="294" t="s">
        <v>191</v>
      </c>
    </row>
    <row r="127" customFormat="false" ht="15.75" hidden="false" customHeight="false" outlineLevel="0" collapsed="false">
      <c r="A127" s="69"/>
      <c r="B127" s="69"/>
      <c r="C127" s="69" t="s">
        <v>271</v>
      </c>
      <c r="F127" s="294"/>
    </row>
    <row r="128" customFormat="false" ht="15.75" hidden="false" customHeight="false" outlineLevel="0" collapsed="false">
      <c r="A128" s="69"/>
      <c r="B128" s="69"/>
      <c r="C128" s="69" t="s">
        <v>192</v>
      </c>
      <c r="F128" s="294"/>
    </row>
    <row r="129" customFormat="false" ht="15.75" hidden="false" customHeight="false" outlineLevel="0" collapsed="false"/>
    <row r="130" customFormat="false" ht="15.75" hidden="false" customHeight="false" outlineLevel="0" collapsed="false">
      <c r="A130" s="69"/>
      <c r="B130" s="69"/>
      <c r="C130" s="317" t="str">
        <f aca="false">HYPERLINK("https://phillipreeve.net/blog/impressum/","Impressum")</f>
        <v>Impressum</v>
      </c>
    </row>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c r="A136" s="294"/>
      <c r="B136" s="294"/>
      <c r="C136" s="294"/>
    </row>
    <row r="137" customFormat="false" ht="15.75" hidden="false" customHeight="false" outlineLevel="0" collapsed="false">
      <c r="A137" s="294"/>
      <c r="B137" s="294"/>
      <c r="C137" s="294"/>
    </row>
    <row r="138" customFormat="false" ht="15.75" hidden="false" customHeight="false" outlineLevel="0" collapsed="false">
      <c r="A138" s="294"/>
      <c r="B138" s="294"/>
      <c r="C138" s="294"/>
    </row>
    <row r="139" customFormat="false" ht="15.75" hidden="false" customHeight="false" outlineLevel="0" collapsed="false">
      <c r="A139" s="294"/>
      <c r="B139" s="294"/>
      <c r="C139" s="294"/>
    </row>
    <row r="140" customFormat="false" ht="15.75" hidden="false" customHeight="false" outlineLevel="0" collapsed="false">
      <c r="A140" s="294"/>
      <c r="B140" s="294"/>
      <c r="C140" s="294"/>
    </row>
    <row r="141" customFormat="false" ht="15.75" hidden="false" customHeight="false" outlineLevel="0" collapsed="false">
      <c r="A141" s="294"/>
      <c r="B141" s="294"/>
      <c r="C141" s="294"/>
    </row>
    <row r="142" customFormat="false" ht="15.75" hidden="false" customHeight="false" outlineLevel="0" collapsed="false">
      <c r="A142" s="294"/>
      <c r="B142" s="294"/>
      <c r="C142" s="294"/>
    </row>
    <row r="143" customFormat="false" ht="15.75" hidden="false" customHeight="false" outlineLevel="0" collapsed="false">
      <c r="A143" s="294"/>
      <c r="B143" s="294"/>
      <c r="C143" s="294"/>
    </row>
    <row r="144" customFormat="false" ht="15.75" hidden="false" customHeight="false" outlineLevel="0" collapsed="false">
      <c r="A144" s="294"/>
      <c r="B144" s="294"/>
      <c r="C144" s="294"/>
    </row>
    <row r="145" customFormat="false" ht="15.75" hidden="false" customHeight="false" outlineLevel="0" collapsed="false">
      <c r="A145" s="294"/>
      <c r="B145" s="294"/>
      <c r="C145" s="294"/>
    </row>
    <row r="146" customFormat="false" ht="15.75" hidden="false" customHeight="false" outlineLevel="0" collapsed="false">
      <c r="A146" s="294"/>
      <c r="B146" s="294"/>
      <c r="C146" s="294"/>
    </row>
    <row r="147" customFormat="false" ht="15.75" hidden="false" customHeight="false" outlineLevel="0" collapsed="false">
      <c r="A147" s="294"/>
      <c r="B147" s="294"/>
      <c r="C147" s="294"/>
    </row>
    <row r="148" customFormat="false" ht="15.75" hidden="false" customHeight="false" outlineLevel="0" collapsed="false">
      <c r="A148" s="294"/>
      <c r="B148" s="294"/>
      <c r="C148" s="294"/>
    </row>
    <row r="149" customFormat="false" ht="15.75" hidden="false" customHeight="false" outlineLevel="0" collapsed="false">
      <c r="A149" s="294"/>
      <c r="B149" s="294"/>
      <c r="C149" s="294"/>
    </row>
    <row r="150" customFormat="false" ht="15.75" hidden="false" customHeight="false" outlineLevel="0" collapsed="false">
      <c r="A150" s="294"/>
      <c r="B150" s="294"/>
      <c r="C150" s="294"/>
    </row>
    <row r="151" customFormat="false" ht="15.75" hidden="false" customHeight="false" outlineLevel="0" collapsed="false">
      <c r="A151" s="294"/>
      <c r="B151" s="294"/>
      <c r="C151" s="294"/>
    </row>
    <row r="152" customFormat="false" ht="15.75" hidden="false" customHeight="false" outlineLevel="0" collapsed="false">
      <c r="A152" s="294"/>
      <c r="B152" s="294"/>
      <c r="C152" s="294"/>
    </row>
    <row r="153" customFormat="false" ht="15.75" hidden="false" customHeight="false" outlineLevel="0" collapsed="false">
      <c r="A153" s="294"/>
      <c r="B153" s="294"/>
      <c r="C153" s="294"/>
    </row>
    <row r="154" customFormat="false" ht="15.75" hidden="false" customHeight="false" outlineLevel="0" collapsed="false">
      <c r="A154" s="294"/>
      <c r="B154" s="294"/>
      <c r="C154" s="294"/>
    </row>
    <row r="155" customFormat="false" ht="15.75" hidden="false" customHeight="false" outlineLevel="0" collapsed="false">
      <c r="A155" s="294"/>
      <c r="B155" s="294"/>
      <c r="C155" s="294"/>
    </row>
    <row r="156" customFormat="false" ht="15.75" hidden="false" customHeight="false" outlineLevel="0" collapsed="false">
      <c r="A156" s="294"/>
      <c r="B156" s="294"/>
      <c r="C156" s="294"/>
    </row>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row r="1020" customFormat="false" ht="15.75" hidden="false" customHeight="false" outlineLevel="0" collapsed="false"/>
    <row r="1021" customFormat="false" ht="15.75" hidden="false" customHeight="false" outlineLevel="0" collapsed="false"/>
    <row r="1022" customFormat="false" ht="15.75" hidden="false" customHeight="false" outlineLevel="0" collapsed="false"/>
    <row r="1023" customFormat="false" ht="15.75" hidden="false" customHeight="false" outlineLevel="0" collapsed="false"/>
    <row r="1024" customFormat="false" ht="15.75" hidden="false" customHeight="false" outlineLevel="0" collapsed="false"/>
    <row r="1025" customFormat="false" ht="15.75" hidden="false" customHeight="false" outlineLevel="0" collapsed="false"/>
    <row r="1026" customFormat="false" ht="15.75" hidden="false" customHeight="false" outlineLevel="0" collapsed="false"/>
    <row r="1027" customFormat="false" ht="15.75" hidden="false" customHeight="false" outlineLevel="0" collapsed="false"/>
    <row r="1028" customFormat="false" ht="15.75" hidden="false" customHeight="false" outlineLevel="0" collapsed="false"/>
    <row r="1029" customFormat="false" ht="15.75" hidden="false" customHeight="false" outlineLevel="0" collapsed="false"/>
    <row r="1030" customFormat="false" ht="15.75" hidden="false" customHeight="false" outlineLevel="0" collapsed="false"/>
    <row r="1031" customFormat="false" ht="15.75" hidden="false" customHeight="false" outlineLevel="0" collapsed="false"/>
    <row r="1032" customFormat="false" ht="15.75" hidden="false" customHeight="false" outlineLevel="0" collapsed="false"/>
    <row r="1033" customFormat="false" ht="15.75" hidden="false" customHeight="false" outlineLevel="0" collapsed="false"/>
    <row r="1034" customFormat="false" ht="15.75" hidden="false" customHeight="false" outlineLevel="0" collapsed="false"/>
    <row r="1035" customFormat="false" ht="15.75" hidden="false" customHeight="false" outlineLevel="0" collapsed="false"/>
    <row r="1036" customFormat="false" ht="15.75" hidden="false" customHeight="false" outlineLevel="0" collapsed="false"/>
    <row r="1037" customFormat="false" ht="15.75" hidden="false" customHeight="false" outlineLevel="0" collapsed="false"/>
    <row r="1038" customFormat="false" ht="15.75" hidden="false" customHeight="false" outlineLevel="0" collapsed="false"/>
    <row r="1039" customFormat="false" ht="15.75" hidden="false" customHeight="false" outlineLevel="0" collapsed="false"/>
    <row r="1040" customFormat="false" ht="15.75" hidden="false" customHeight="false" outlineLevel="0" collapsed="false"/>
    <row r="1041" customFormat="false" ht="15.75" hidden="false" customHeight="false" outlineLevel="0" collapsed="false"/>
    <row r="1042" customFormat="false" ht="15.75" hidden="false" customHeight="false" outlineLevel="0" collapsed="false"/>
    <row r="1043" customFormat="false" ht="15.75" hidden="false" customHeight="false" outlineLevel="0" collapsed="false"/>
    <row r="1044" customFormat="false" ht="15.75" hidden="false" customHeight="false" outlineLevel="0" collapsed="false"/>
    <row r="1045" customFormat="false" ht="15.75" hidden="false" customHeight="false" outlineLevel="0" collapsed="false"/>
    <row r="1046" customFormat="false" ht="15.75" hidden="false" customHeight="false" outlineLevel="0" collapsed="false"/>
    <row r="1047" customFormat="false" ht="15.75" hidden="false" customHeight="false" outlineLevel="0" collapsed="false"/>
    <row r="1048" customFormat="false" ht="15.75" hidden="false" customHeight="false" outlineLevel="0" collapsed="false"/>
    <row r="1049" customFormat="false" ht="15.75" hidden="false" customHeight="false" outlineLevel="0" collapsed="false"/>
    <row r="1050" customFormat="false" ht="15.75" hidden="false" customHeight="false" outlineLevel="0" collapsed="false"/>
    <row r="1051" customFormat="false" ht="15.75" hidden="false" customHeight="false" outlineLevel="0" collapsed="false"/>
    <row r="1052" customFormat="false" ht="15.75" hidden="false" customHeight="false" outlineLevel="0" collapsed="false"/>
    <row r="1053" customFormat="false" ht="15.75" hidden="false" customHeight="false" outlineLevel="0" collapsed="false"/>
    <row r="1054" customFormat="false" ht="15.75" hidden="false" customHeight="false" outlineLevel="0" collapsed="false"/>
    <row r="1055" customFormat="false" ht="15.75" hidden="false" customHeight="false" outlineLevel="0" collapsed="false"/>
    <row r="1056" customFormat="false" ht="15.75" hidden="false" customHeight="false" outlineLevel="0" collapsed="false"/>
    <row r="1057" customFormat="false" ht="15.75" hidden="false" customHeight="false" outlineLevel="0" collapsed="false"/>
    <row r="1058" customFormat="false" ht="15.75" hidden="false" customHeight="false" outlineLevel="0" collapsed="false"/>
    <row r="1059" customFormat="false" ht="15.75" hidden="false" customHeight="false" outlineLevel="0" collapsed="false"/>
    <row r="1060" customFormat="false" ht="15.75" hidden="false" customHeight="false" outlineLevel="0" collapsed="false"/>
    <row r="1061" customFormat="false" ht="15.75" hidden="false" customHeight="false" outlineLevel="0" collapsed="false"/>
    <row r="1062" customFormat="false" ht="15.75" hidden="false" customHeight="false" outlineLevel="0" collapsed="false"/>
    <row r="1063" customFormat="false" ht="15.75" hidden="false" customHeight="false" outlineLevel="0" collapsed="false"/>
    <row r="1064" customFormat="false" ht="15.75" hidden="false" customHeight="false" outlineLevel="0" collapsed="false"/>
    <row r="1065" customFormat="false" ht="15.75" hidden="false" customHeight="false" outlineLevel="0" collapsed="false"/>
    <row r="1066" customFormat="false" ht="15.75" hidden="false" customHeight="false" outlineLevel="0" collapsed="false"/>
  </sheetData>
  <autoFilter ref="W1:W1066"/>
  <conditionalFormatting sqref="C24:C26">
    <cfRule type="expression" priority="2" aboveAverage="0" equalAverage="0" bottom="0" percent="0" rank="0" text="" dxfId="12">
      <formula>(TODAY()-#ref!)&lt;0</formula>
    </cfRule>
  </conditionalFormatting>
  <conditionalFormatting sqref="C24:C26">
    <cfRule type="expression" priority="3" aboveAverage="0" equalAverage="0" bottom="0" percent="0" rank="0" text="" dxfId="9">
      <formula>(TODAY()-#ref!)&lt;180</formula>
    </cfRule>
  </conditionalFormatting>
  <conditionalFormatting sqref="C23">
    <cfRule type="expression" priority="4" aboveAverage="0" equalAverage="0" bottom="0" percent="0" rank="0" text="" dxfId="12">
      <formula>(TODAY()-#ref!)&lt;0</formula>
    </cfRule>
  </conditionalFormatting>
  <conditionalFormatting sqref="C23">
    <cfRule type="expression" priority="5" aboveAverage="0" equalAverage="0" bottom="0" percent="0" rank="0" text="" dxfId="9">
      <formula>(TODAY()-#ref!)&lt;180</formula>
    </cfRule>
  </conditionalFormatting>
  <conditionalFormatting sqref="D1 D3:D10">
    <cfRule type="cellIs" priority="6" operator="between" aboveAverage="0" equalAverage="0" bottom="0" percent="0" rank="0" text="" dxfId="2">
      <formula>50</formula>
      <formula>200</formula>
    </cfRule>
  </conditionalFormatting>
  <conditionalFormatting sqref="D1 D3:D10">
    <cfRule type="cellIs" priority="7" operator="between" aboveAverage="0" equalAverage="0" bottom="0" percent="0" rank="0" text="" dxfId="3">
      <formula>201</formula>
      <formula>400</formula>
    </cfRule>
  </conditionalFormatting>
  <conditionalFormatting sqref="D3:D10">
    <cfRule type="cellIs" priority="8" operator="between" aboveAverage="0" equalAverage="0" bottom="0" percent="0" rank="0" text="" dxfId="4">
      <formula>401</formula>
      <formula>650</formula>
    </cfRule>
  </conditionalFormatting>
  <conditionalFormatting sqref="D3:D10">
    <cfRule type="cellIs" priority="9" operator="between" aboveAverage="0" equalAverage="0" bottom="0" percent="0" rank="0" text="" dxfId="5">
      <formula>651</formula>
      <formula>900</formula>
    </cfRule>
  </conditionalFormatting>
  <conditionalFormatting sqref="D3:D10">
    <cfRule type="cellIs" priority="10" operator="greaterThan" aboveAverage="0" equalAverage="0" bottom="0" percent="0" rank="0" text="" dxfId="6">
      <formula>900</formula>
    </cfRule>
  </conditionalFormatting>
  <conditionalFormatting sqref="S3:S1061">
    <cfRule type="containsText" priority="11" operator="containsText" aboveAverage="0" equalAverage="0" bottom="0" percent="0" rank="0" text="yes" dxfId="7">
      <formula>NOT(ISERROR(SEARCH("yes",S3)))</formula>
    </cfRule>
  </conditionalFormatting>
  <conditionalFormatting sqref="H1:H1066">
    <cfRule type="colorScale" priority="12">
      <colorScale>
        <cfvo type="min" val="0"/>
        <cfvo type="formula" val="150"/>
        <color rgb="FFEAD1DC"/>
        <color rgb="FFA64D79"/>
      </colorScale>
    </cfRule>
  </conditionalFormatting>
  <conditionalFormatting sqref="F3:F21">
    <cfRule type="colorScale" priority="13">
      <colorScale>
        <cfvo type="formula" val="1.2"/>
        <cfvo type="formula" val="4"/>
        <color rgb="FF0B5394"/>
        <color rgb="FFFFFFFF"/>
      </colorScale>
    </cfRule>
  </conditionalFormatting>
  <conditionalFormatting sqref="G3:G74">
    <cfRule type="colorScale" priority="14">
      <colorScale>
        <cfvo type="formula" val="65"/>
        <cfvo type="formula" val="100"/>
        <color rgb="FFD9D2E9"/>
        <color rgb="FF674EA7"/>
      </colorScale>
    </cfRule>
  </conditionalFormatting>
  <conditionalFormatting sqref="F3:F74">
    <cfRule type="containsText" priority="15" operator="containsText" aboveAverage="0" equalAverage="0" bottom="0" percent="0" rank="0" text="1.2" dxfId="8">
      <formula>NOT(ISERROR(SEARCH("1.2",F3)))</formula>
    </cfRule>
  </conditionalFormatting>
  <conditionalFormatting sqref="F10">
    <cfRule type="expression" priority="16" aboveAverage="0" equalAverage="0" bottom="0" percent="0" rank="0" text="" dxfId="9">
      <formula>LEN(TRIM(F10))&gt;0</formula>
    </cfRule>
  </conditionalFormatting>
  <conditionalFormatting sqref="F3:F74">
    <cfRule type="containsText" priority="17" operator="containsText" aboveAverage="0" equalAverage="0" bottom="0" percent="0" rank="0" text="1.4" dxfId="10">
      <formula>NOT(ISERROR(SEARCH("1.4",F3)))</formula>
    </cfRule>
  </conditionalFormatting>
  <conditionalFormatting sqref="F3:F93">
    <cfRule type="containsText" priority="18" operator="containsText" aboveAverage="0" equalAverage="0" bottom="0" percent="0" rank="0" text="1.8" dxfId="11">
      <formula>NOT(ISERROR(SEARCH("1.8",F3)))</formula>
    </cfRule>
  </conditionalFormatting>
  <conditionalFormatting sqref="A3:B92 C3:C10 C12:C22 C27:C92">
    <cfRule type="expression" priority="19" aboveAverage="0" equalAverage="0" bottom="0" percent="0" rank="0" text="" dxfId="12">
      <formula>(TODAY()-V3)&lt;0</formula>
    </cfRule>
  </conditionalFormatting>
  <conditionalFormatting sqref="A3:B92 C3:C10 C12:C22 C27:C92">
    <cfRule type="expression" priority="20" aboveAverage="0" equalAverage="0" bottom="0" percent="0" rank="0" text="" dxfId="9">
      <formula>(TODAY()-V3)&lt;180</formula>
    </cfRule>
  </conditionalFormatting>
  <conditionalFormatting sqref="I3:I104">
    <cfRule type="cellIs" priority="21" operator="equal" aboveAverage="0" equalAverage="0" bottom="0" percent="0" rank="0" text="" dxfId="12">
      <formula>"MF"</formula>
    </cfRule>
  </conditionalFormatting>
  <conditionalFormatting sqref="K3:K104">
    <cfRule type="cellIs" priority="22" operator="between" aboveAverage="0" equalAverage="0" bottom="0" percent="0" rank="0" text="" dxfId="13">
      <formula>0.24</formula>
      <formula>0.45</formula>
    </cfRule>
  </conditionalFormatting>
  <conditionalFormatting sqref="K3:K104">
    <cfRule type="cellIs" priority="23" operator="between" aboveAverage="0" equalAverage="0" bottom="0" percent="0" rank="0" text="" dxfId="14">
      <formula>0.45</formula>
      <formula>0.99</formula>
    </cfRule>
  </conditionalFormatting>
  <conditionalFormatting sqref="K3:K104">
    <cfRule type="cellIs" priority="24"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V3:V74" type="list">
      <formula1>"Sony,Voigtlander,Zeiss,Sigma,Samyang,Viltrox,Tokina,Tamron"</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0" width="25.51"/>
    <col collapsed="false" customWidth="true" hidden="false" outlineLevel="0" max="2" min="2" style="0" width="5.75"/>
    <col collapsed="false" customWidth="true" hidden="false" outlineLevel="0" max="3" min="3" style="0" width="7.12"/>
    <col collapsed="false" customWidth="true" hidden="false" outlineLevel="0" max="4" min="4" style="0" width="7"/>
    <col collapsed="false" customWidth="true" hidden="false" outlineLevel="0" max="6" min="5" style="0" width="6.38"/>
    <col collapsed="false" customWidth="true" hidden="false" outlineLevel="0" max="7" min="7" style="0" width="3.5"/>
    <col collapsed="false" customWidth="true" hidden="false" outlineLevel="0" max="8" min="8" style="0" width="6.25"/>
    <col collapsed="false" customWidth="true" hidden="false" outlineLevel="0" max="9" min="9" style="0" width="3.88"/>
    <col collapsed="false" customWidth="true" hidden="false" outlineLevel="0" max="10" min="10" style="0" width="6.63"/>
    <col collapsed="false" customWidth="true" hidden="false" outlineLevel="0" max="11" min="11" style="0" width="4.75"/>
    <col collapsed="false" customWidth="true" hidden="false" outlineLevel="0" max="12" min="12" style="0" width="4.38"/>
    <col collapsed="false" customWidth="true" hidden="false" outlineLevel="0" max="13" min="13" style="0" width="5.38"/>
    <col collapsed="false" customWidth="true" hidden="false" outlineLevel="0" max="14" min="14" style="0" width="11.63"/>
    <col collapsed="false" customWidth="true" hidden="false" outlineLevel="0" max="15" min="15" style="0" width="6.51"/>
    <col collapsed="false" customWidth="true" hidden="false" outlineLevel="0" max="17" min="16" style="0" width="6.75"/>
    <col collapsed="false" customWidth="true" hidden="false" outlineLevel="0" max="21" min="18" style="0" width="3.5"/>
  </cols>
  <sheetData>
    <row r="1" customFormat="false" ht="76.5" hidden="false" customHeight="true" outlineLevel="0" collapsed="false">
      <c r="A1" s="1" t="s">
        <v>0</v>
      </c>
      <c r="B1" s="2" t="s">
        <v>1</v>
      </c>
      <c r="C1" s="3" t="s">
        <v>2</v>
      </c>
      <c r="D1" s="4" t="s">
        <v>3</v>
      </c>
      <c r="E1" s="5" t="s">
        <v>4</v>
      </c>
      <c r="F1" s="6" t="s">
        <v>5</v>
      </c>
      <c r="G1" s="7" t="s">
        <v>6</v>
      </c>
      <c r="H1" s="8" t="s">
        <v>7</v>
      </c>
      <c r="I1" s="3" t="s">
        <v>8</v>
      </c>
      <c r="J1" s="3" t="s">
        <v>9</v>
      </c>
      <c r="K1" s="10" t="s">
        <v>10</v>
      </c>
      <c r="L1" s="3" t="s">
        <v>11</v>
      </c>
      <c r="M1" s="3" t="s">
        <v>12</v>
      </c>
      <c r="N1" s="3" t="s">
        <v>13</v>
      </c>
      <c r="O1" s="13" t="s">
        <v>14</v>
      </c>
      <c r="P1" s="14" t="s">
        <v>15</v>
      </c>
      <c r="Q1" s="14" t="s">
        <v>276</v>
      </c>
      <c r="R1" s="16" t="s">
        <v>17</v>
      </c>
      <c r="S1" s="17" t="s">
        <v>18</v>
      </c>
      <c r="T1" s="16" t="s">
        <v>19</v>
      </c>
      <c r="U1" s="18" t="s">
        <v>20</v>
      </c>
      <c r="V1" s="19" t="s">
        <v>21</v>
      </c>
    </row>
    <row r="2" customFormat="false" ht="18" hidden="false" customHeight="true" outlineLevel="0" collapsed="false">
      <c r="A2" s="20" t="s">
        <v>194</v>
      </c>
      <c r="B2" s="21"/>
      <c r="C2" s="21"/>
      <c r="D2" s="21"/>
      <c r="E2" s="21"/>
      <c r="F2" s="21"/>
      <c r="G2" s="21"/>
      <c r="H2" s="22"/>
      <c r="I2" s="21"/>
      <c r="J2" s="21"/>
      <c r="K2" s="21"/>
      <c r="L2" s="21"/>
      <c r="M2" s="21"/>
      <c r="N2" s="23"/>
      <c r="O2" s="21"/>
      <c r="P2" s="21"/>
      <c r="Q2" s="21"/>
      <c r="R2" s="21"/>
      <c r="S2" s="21"/>
      <c r="T2" s="21"/>
      <c r="U2" s="21"/>
    </row>
    <row r="3" customFormat="false" ht="15.75" hidden="false" customHeight="false" outlineLevel="0" collapsed="false">
      <c r="A3" s="95" t="s">
        <v>294</v>
      </c>
      <c r="B3" s="25" t="n">
        <v>494</v>
      </c>
      <c r="C3" s="26" t="n">
        <v>16</v>
      </c>
      <c r="D3" s="27" t="n">
        <v>2.8</v>
      </c>
      <c r="E3" s="28" t="n">
        <v>73</v>
      </c>
      <c r="F3" s="29" t="n">
        <v>100</v>
      </c>
      <c r="G3" s="30" t="s">
        <v>30</v>
      </c>
      <c r="H3" s="31"/>
      <c r="I3" s="32"/>
      <c r="J3" s="33"/>
      <c r="K3" s="30"/>
      <c r="L3" s="32"/>
      <c r="M3" s="34"/>
      <c r="N3" s="32"/>
      <c r="O3" s="35"/>
      <c r="P3" s="36"/>
      <c r="Q3" s="36"/>
      <c r="R3" s="71"/>
      <c r="S3" s="71"/>
      <c r="T3" s="71"/>
      <c r="U3" s="71"/>
      <c r="V3" s="38"/>
    </row>
    <row r="4" customFormat="false" ht="15.75" hidden="false" customHeight="false" outlineLevel="0" collapsed="false">
      <c r="A4" s="39"/>
      <c r="B4" s="40"/>
      <c r="C4" s="41"/>
      <c r="D4" s="42"/>
      <c r="E4" s="43"/>
      <c r="F4" s="44"/>
      <c r="G4" s="45"/>
      <c r="H4" s="46"/>
      <c r="I4" s="47"/>
      <c r="J4" s="48"/>
      <c r="K4" s="45"/>
      <c r="L4" s="47"/>
      <c r="M4" s="49"/>
      <c r="N4" s="47"/>
      <c r="O4" s="50"/>
      <c r="P4" s="51"/>
      <c r="Q4" s="51"/>
      <c r="R4" s="140"/>
      <c r="S4" s="140"/>
      <c r="T4" s="140"/>
      <c r="U4" s="140"/>
    </row>
    <row r="5" customFormat="false" ht="15.75" hidden="false" customHeight="false" outlineLevel="0" collapsed="false">
      <c r="A5" s="95"/>
      <c r="B5" s="25"/>
      <c r="C5" s="26"/>
      <c r="D5" s="27"/>
      <c r="E5" s="70"/>
      <c r="F5" s="29"/>
      <c r="G5" s="30"/>
      <c r="H5" s="31"/>
      <c r="I5" s="32"/>
      <c r="J5" s="33"/>
      <c r="K5" s="30"/>
      <c r="L5" s="32"/>
      <c r="M5" s="34"/>
      <c r="N5" s="32"/>
      <c r="O5" s="35"/>
      <c r="P5" s="36"/>
      <c r="Q5" s="36"/>
      <c r="R5" s="71"/>
      <c r="S5" s="71"/>
      <c r="T5" s="71"/>
      <c r="U5" s="71"/>
      <c r="V5" s="38"/>
    </row>
    <row r="6" customFormat="false" ht="15.75" hidden="false" customHeight="false" outlineLevel="0" collapsed="false">
      <c r="A6" s="39"/>
      <c r="B6" s="40"/>
      <c r="C6" s="41"/>
      <c r="D6" s="76"/>
      <c r="E6" s="77"/>
      <c r="F6" s="78"/>
      <c r="G6" s="47"/>
      <c r="H6" s="46"/>
      <c r="I6" s="47"/>
      <c r="J6" s="48"/>
      <c r="K6" s="45"/>
      <c r="L6" s="47"/>
      <c r="M6" s="79"/>
      <c r="N6" s="47"/>
      <c r="O6" s="50"/>
      <c r="P6" s="51"/>
      <c r="Q6" s="51"/>
      <c r="R6" s="140"/>
      <c r="S6" s="140"/>
      <c r="T6" s="140"/>
      <c r="U6" s="140"/>
    </row>
    <row r="7" customFormat="false" ht="15.75" hidden="false" customHeight="false" outlineLevel="0" collapsed="false">
      <c r="A7" s="80"/>
      <c r="B7" s="81"/>
      <c r="C7" s="82"/>
      <c r="D7" s="83"/>
      <c r="E7" s="84"/>
      <c r="F7" s="85"/>
      <c r="G7" s="86"/>
      <c r="H7" s="87"/>
      <c r="I7" s="86"/>
      <c r="J7" s="88"/>
      <c r="K7" s="89"/>
      <c r="L7" s="86"/>
      <c r="M7" s="90"/>
      <c r="N7" s="86"/>
      <c r="O7" s="91"/>
      <c r="P7" s="92"/>
      <c r="Q7" s="92"/>
      <c r="R7" s="94"/>
      <c r="S7" s="94"/>
      <c r="T7" s="94"/>
      <c r="U7" s="94"/>
    </row>
    <row r="8" customFormat="false" ht="15.75" hidden="false" customHeight="false" outlineLevel="0" collapsed="false">
      <c r="A8" s="95"/>
      <c r="B8" s="25"/>
      <c r="C8" s="26"/>
      <c r="D8" s="27"/>
      <c r="E8" s="96"/>
      <c r="F8" s="97"/>
      <c r="G8" s="32"/>
      <c r="H8" s="31"/>
      <c r="I8" s="32"/>
      <c r="J8" s="33"/>
      <c r="K8" s="30"/>
      <c r="L8" s="32"/>
      <c r="M8" s="98"/>
      <c r="N8" s="32"/>
      <c r="O8" s="35"/>
      <c r="P8" s="36"/>
      <c r="Q8" s="36"/>
      <c r="R8" s="71"/>
      <c r="S8" s="71"/>
      <c r="T8" s="71"/>
      <c r="U8" s="71"/>
      <c r="V8" s="38"/>
    </row>
    <row r="9" customFormat="false" ht="15.75" hidden="false" customHeight="false" outlineLevel="0" collapsed="false">
      <c r="A9" s="285"/>
      <c r="B9" s="100"/>
      <c r="C9" s="101"/>
      <c r="D9" s="102"/>
      <c r="E9" s="103"/>
      <c r="F9" s="104"/>
      <c r="G9" s="105"/>
      <c r="H9" s="106"/>
      <c r="I9" s="107"/>
      <c r="J9" s="108"/>
      <c r="K9" s="105"/>
      <c r="L9" s="107"/>
      <c r="M9" s="109"/>
      <c r="N9" s="107"/>
      <c r="O9" s="110"/>
      <c r="P9" s="111"/>
      <c r="Q9" s="111"/>
      <c r="R9" s="239"/>
      <c r="S9" s="239"/>
      <c r="T9" s="239"/>
      <c r="U9" s="239"/>
      <c r="V9" s="38"/>
    </row>
    <row r="10" customFormat="false" ht="15.75" hidden="false" customHeight="false" outlineLevel="0" collapsed="false">
      <c r="A10" s="39"/>
      <c r="B10" s="40"/>
      <c r="C10" s="41"/>
      <c r="D10" s="42"/>
      <c r="E10" s="43"/>
      <c r="F10" s="44"/>
      <c r="G10" s="45"/>
      <c r="H10" s="46"/>
      <c r="I10" s="47"/>
      <c r="J10" s="48"/>
      <c r="K10" s="114"/>
      <c r="L10" s="47"/>
      <c r="M10" s="49"/>
      <c r="N10" s="47"/>
      <c r="O10" s="50"/>
      <c r="P10" s="51"/>
      <c r="Q10" s="51"/>
      <c r="R10" s="140"/>
      <c r="S10" s="140"/>
      <c r="T10" s="140"/>
      <c r="U10" s="140"/>
    </row>
    <row r="11" customFormat="false" ht="15.75" hidden="false" customHeight="false" outlineLevel="0" collapsed="false">
      <c r="A11" s="95"/>
      <c r="B11" s="25"/>
      <c r="C11" s="26"/>
      <c r="D11" s="27"/>
      <c r="E11" s="96"/>
      <c r="F11" s="97"/>
      <c r="G11" s="30"/>
      <c r="H11" s="31"/>
      <c r="I11" s="32"/>
      <c r="J11" s="33"/>
      <c r="K11" s="30"/>
      <c r="L11" s="32"/>
      <c r="M11" s="34"/>
      <c r="N11" s="32"/>
      <c r="O11" s="35"/>
      <c r="P11" s="36"/>
      <c r="Q11" s="36"/>
      <c r="R11" s="71"/>
      <c r="S11" s="71"/>
      <c r="T11" s="71"/>
      <c r="U11" s="71"/>
      <c r="V11" s="38"/>
    </row>
    <row r="12" customFormat="false" ht="15.75" hidden="false" customHeight="false" outlineLevel="0" collapsed="false">
      <c r="A12" s="285" t="s">
        <v>295</v>
      </c>
      <c r="B12" s="100" t="n">
        <v>625</v>
      </c>
      <c r="C12" s="101" t="n">
        <v>70</v>
      </c>
      <c r="D12" s="102" t="n">
        <v>4.5</v>
      </c>
      <c r="E12" s="115" t="n">
        <v>77</v>
      </c>
      <c r="F12" s="116" t="n">
        <v>142</v>
      </c>
      <c r="G12" s="105"/>
      <c r="H12" s="106"/>
      <c r="I12" s="107"/>
      <c r="J12" s="108"/>
      <c r="K12" s="105"/>
      <c r="L12" s="107"/>
      <c r="M12" s="109"/>
      <c r="N12" s="107"/>
      <c r="O12" s="110"/>
      <c r="P12" s="117"/>
      <c r="Q12" s="111"/>
      <c r="R12" s="239"/>
      <c r="S12" s="239"/>
      <c r="T12" s="239"/>
      <c r="U12" s="239"/>
      <c r="V12" s="38"/>
      <c r="W12" s="69"/>
    </row>
    <row r="13" customFormat="false" ht="15.75" hidden="false" customHeight="false" outlineLevel="0" collapsed="false">
      <c r="A13" s="39"/>
      <c r="B13" s="40"/>
      <c r="C13" s="41"/>
      <c r="D13" s="42"/>
      <c r="E13" s="43"/>
      <c r="F13" s="44"/>
      <c r="G13" s="45"/>
      <c r="H13" s="46"/>
      <c r="I13" s="47"/>
      <c r="J13" s="48"/>
      <c r="K13" s="45"/>
      <c r="L13" s="47"/>
      <c r="M13" s="49"/>
      <c r="N13" s="47"/>
      <c r="O13" s="50"/>
      <c r="P13" s="51"/>
      <c r="Q13" s="51"/>
      <c r="R13" s="140"/>
      <c r="S13" s="140"/>
      <c r="T13" s="140"/>
      <c r="U13" s="140"/>
    </row>
    <row r="14" customFormat="false" ht="15.75" hidden="false" customHeight="false" outlineLevel="0" collapsed="false">
      <c r="A14" s="95"/>
      <c r="B14" s="25"/>
      <c r="C14" s="26"/>
      <c r="D14" s="27"/>
      <c r="E14" s="96"/>
      <c r="F14" s="97"/>
      <c r="G14" s="30"/>
      <c r="H14" s="31"/>
      <c r="I14" s="32"/>
      <c r="J14" s="33"/>
      <c r="K14" s="30"/>
      <c r="L14" s="32"/>
      <c r="M14" s="34"/>
      <c r="N14" s="32"/>
      <c r="O14" s="35"/>
      <c r="P14" s="36"/>
      <c r="Q14" s="36"/>
      <c r="R14" s="71"/>
      <c r="S14" s="71"/>
      <c r="T14" s="71"/>
      <c r="U14" s="71"/>
      <c r="V14" s="38"/>
    </row>
    <row r="15" customFormat="false" ht="15.75" hidden="false" customHeight="true" outlineLevel="0" collapsed="false">
      <c r="A15" s="39"/>
      <c r="B15" s="40"/>
      <c r="C15" s="41"/>
      <c r="D15" s="119"/>
      <c r="E15" s="43"/>
      <c r="F15" s="44"/>
      <c r="G15" s="47"/>
      <c r="H15" s="46"/>
      <c r="I15" s="47"/>
      <c r="J15" s="48"/>
      <c r="K15" s="45"/>
      <c r="L15" s="47"/>
      <c r="M15" s="79"/>
      <c r="N15" s="47"/>
      <c r="O15" s="50"/>
      <c r="P15" s="51"/>
      <c r="Q15" s="51"/>
      <c r="R15" s="140"/>
      <c r="S15" s="140"/>
      <c r="T15" s="140"/>
      <c r="U15" s="140"/>
    </row>
    <row r="16" customFormat="false" ht="15.75" hidden="false" customHeight="false" outlineLevel="0" collapsed="false">
      <c r="A16" s="80"/>
      <c r="B16" s="81"/>
      <c r="C16" s="82"/>
      <c r="D16" s="120"/>
      <c r="E16" s="84"/>
      <c r="F16" s="121"/>
      <c r="G16" s="86"/>
      <c r="H16" s="87"/>
      <c r="I16" s="86"/>
      <c r="J16" s="88"/>
      <c r="K16" s="89"/>
      <c r="L16" s="86"/>
      <c r="M16" s="122"/>
      <c r="N16" s="86"/>
      <c r="O16" s="91"/>
      <c r="P16" s="92"/>
      <c r="Q16" s="92"/>
      <c r="R16" s="94"/>
      <c r="S16" s="94"/>
      <c r="T16" s="94"/>
      <c r="U16" s="94"/>
    </row>
    <row r="17" customFormat="false" ht="15.75" hidden="false" customHeight="false" outlineLevel="0" collapsed="false">
      <c r="A17" s="80"/>
      <c r="B17" s="81"/>
      <c r="C17" s="82"/>
      <c r="D17" s="123"/>
      <c r="E17" s="124"/>
      <c r="F17" s="125"/>
      <c r="G17" s="89"/>
      <c r="H17" s="87"/>
      <c r="I17" s="86"/>
      <c r="J17" s="88"/>
      <c r="K17" s="89"/>
      <c r="L17" s="86"/>
      <c r="M17" s="126"/>
      <c r="N17" s="86"/>
      <c r="O17" s="91"/>
      <c r="P17" s="127"/>
      <c r="Q17" s="127"/>
      <c r="R17" s="94"/>
      <c r="S17" s="94"/>
      <c r="T17" s="94"/>
      <c r="U17" s="94"/>
    </row>
    <row r="18" customFormat="false" ht="15.75" hidden="false" customHeight="false" outlineLevel="0" collapsed="false">
      <c r="A18" s="95"/>
      <c r="B18" s="25"/>
      <c r="C18" s="26"/>
      <c r="D18" s="129"/>
      <c r="E18" s="130"/>
      <c r="F18" s="131"/>
      <c r="G18" s="30"/>
      <c r="H18" s="31"/>
      <c r="I18" s="32"/>
      <c r="J18" s="33"/>
      <c r="K18" s="30"/>
      <c r="L18" s="32"/>
      <c r="M18" s="34"/>
      <c r="N18" s="32"/>
      <c r="O18" s="35"/>
      <c r="P18" s="36"/>
      <c r="Q18" s="36"/>
      <c r="R18" s="71"/>
      <c r="S18" s="71"/>
      <c r="T18" s="71"/>
      <c r="U18" s="71"/>
      <c r="V18" s="38"/>
    </row>
    <row r="19" customFormat="false" ht="15.75" hidden="false" customHeight="false" outlineLevel="0" collapsed="false">
      <c r="A19" s="39"/>
      <c r="B19" s="40"/>
      <c r="C19" s="41"/>
      <c r="D19" s="138"/>
      <c r="E19" s="133"/>
      <c r="F19" s="139"/>
      <c r="G19" s="45"/>
      <c r="H19" s="46"/>
      <c r="I19" s="47"/>
      <c r="J19" s="48"/>
      <c r="K19" s="45"/>
      <c r="L19" s="47"/>
      <c r="M19" s="49"/>
      <c r="N19" s="47"/>
      <c r="O19" s="50"/>
      <c r="P19" s="51"/>
      <c r="Q19" s="51"/>
      <c r="R19" s="140"/>
      <c r="S19" s="140"/>
      <c r="T19" s="140"/>
      <c r="U19" s="140"/>
    </row>
    <row r="20" customFormat="false" ht="15.75" hidden="false" customHeight="false" outlineLevel="0" collapsed="false">
      <c r="A20" s="80"/>
      <c r="B20" s="81"/>
      <c r="C20" s="82"/>
      <c r="D20" s="83"/>
      <c r="E20" s="133"/>
      <c r="F20" s="139"/>
      <c r="G20" s="89"/>
      <c r="H20" s="87"/>
      <c r="I20" s="86"/>
      <c r="J20" s="88"/>
      <c r="K20" s="89"/>
      <c r="L20" s="86"/>
      <c r="M20" s="126"/>
      <c r="N20" s="86"/>
      <c r="O20" s="91"/>
      <c r="P20" s="92"/>
      <c r="Q20" s="92"/>
      <c r="R20" s="94"/>
      <c r="S20" s="94"/>
      <c r="T20" s="94"/>
      <c r="U20" s="94"/>
    </row>
    <row r="21" customFormat="false" ht="15.75" hidden="false" customHeight="false" outlineLevel="0" collapsed="false">
      <c r="A21" s="95"/>
      <c r="B21" s="25"/>
      <c r="C21" s="26"/>
      <c r="D21" s="27"/>
      <c r="E21" s="130"/>
      <c r="F21" s="131"/>
      <c r="G21" s="30"/>
      <c r="H21" s="31"/>
      <c r="I21" s="32"/>
      <c r="J21" s="33"/>
      <c r="K21" s="30"/>
      <c r="L21" s="32"/>
      <c r="M21" s="34"/>
      <c r="N21" s="32"/>
      <c r="O21" s="35"/>
      <c r="P21" s="36"/>
      <c r="Q21" s="36"/>
      <c r="R21" s="71"/>
      <c r="S21" s="71"/>
      <c r="T21" s="71"/>
      <c r="U21" s="71"/>
      <c r="V21" s="38"/>
    </row>
    <row r="22" customFormat="false" ht="15.75" hidden="false" customHeight="false" outlineLevel="0" collapsed="false">
      <c r="A22" s="39"/>
      <c r="B22" s="40"/>
      <c r="C22" s="41"/>
      <c r="D22" s="138"/>
      <c r="E22" s="133"/>
      <c r="F22" s="139"/>
      <c r="G22" s="45"/>
      <c r="H22" s="46"/>
      <c r="I22" s="47"/>
      <c r="J22" s="48"/>
      <c r="K22" s="45"/>
      <c r="L22" s="47"/>
      <c r="M22" s="49"/>
      <c r="N22" s="47"/>
      <c r="O22" s="50"/>
      <c r="P22" s="51"/>
      <c r="Q22" s="51"/>
      <c r="R22" s="140"/>
      <c r="S22" s="140"/>
      <c r="T22" s="140"/>
      <c r="U22" s="140"/>
    </row>
    <row r="23" customFormat="false" ht="15.75" hidden="false" customHeight="false" outlineLevel="0" collapsed="false">
      <c r="A23" s="80"/>
      <c r="B23" s="81"/>
      <c r="C23" s="82"/>
      <c r="D23" s="142"/>
      <c r="E23" s="133"/>
      <c r="F23" s="139"/>
      <c r="G23" s="86"/>
      <c r="H23" s="87"/>
      <c r="I23" s="86"/>
      <c r="J23" s="88"/>
      <c r="K23" s="89"/>
      <c r="L23" s="86"/>
      <c r="M23" s="122"/>
      <c r="N23" s="86"/>
      <c r="O23" s="91"/>
      <c r="P23" s="92"/>
      <c r="Q23" s="92"/>
      <c r="R23" s="94"/>
      <c r="S23" s="94"/>
      <c r="T23" s="94"/>
      <c r="U23" s="94"/>
    </row>
    <row r="24" customFormat="false" ht="15.75" hidden="false" customHeight="false" outlineLevel="0" collapsed="false">
      <c r="A24" s="80"/>
      <c r="B24" s="81"/>
      <c r="C24" s="82"/>
      <c r="D24" s="83"/>
      <c r="E24" s="133"/>
      <c r="F24" s="134"/>
      <c r="G24" s="89"/>
      <c r="H24" s="87"/>
      <c r="I24" s="86"/>
      <c r="J24" s="88"/>
      <c r="K24" s="89"/>
      <c r="L24" s="86"/>
      <c r="M24" s="126"/>
      <c r="N24" s="86"/>
      <c r="O24" s="91"/>
      <c r="P24" s="127"/>
      <c r="Q24" s="127"/>
      <c r="R24" s="94"/>
      <c r="S24" s="94"/>
      <c r="T24" s="94"/>
      <c r="U24" s="94"/>
    </row>
    <row r="25" customFormat="false" ht="15.75" hidden="false" customHeight="false" outlineLevel="0" collapsed="false">
      <c r="A25" s="132"/>
      <c r="B25" s="81"/>
      <c r="C25" s="82"/>
      <c r="D25" s="83"/>
      <c r="E25" s="133"/>
      <c r="F25" s="134"/>
      <c r="G25" s="89"/>
      <c r="H25" s="87"/>
      <c r="I25" s="135"/>
      <c r="J25" s="88"/>
      <c r="K25" s="89"/>
      <c r="L25" s="86"/>
      <c r="M25" s="126"/>
      <c r="N25" s="86"/>
      <c r="O25" s="91"/>
      <c r="P25" s="92"/>
      <c r="Q25" s="92"/>
      <c r="R25" s="94"/>
      <c r="S25" s="94"/>
      <c r="T25" s="94"/>
      <c r="U25" s="94"/>
    </row>
    <row r="26" customFormat="false" ht="15.75" hidden="false" customHeight="false" outlineLevel="0" collapsed="false">
      <c r="A26" s="80"/>
      <c r="B26" s="81"/>
      <c r="C26" s="82"/>
      <c r="D26" s="83"/>
      <c r="E26" s="133"/>
      <c r="F26" s="134"/>
      <c r="G26" s="89"/>
      <c r="H26" s="87"/>
      <c r="I26" s="135"/>
      <c r="J26" s="88"/>
      <c r="K26" s="174"/>
      <c r="L26" s="86"/>
      <c r="M26" s="126"/>
      <c r="N26" s="86"/>
      <c r="O26" s="91"/>
      <c r="P26" s="92"/>
      <c r="Q26" s="92"/>
      <c r="R26" s="94"/>
      <c r="S26" s="94"/>
      <c r="T26" s="94"/>
      <c r="U26" s="94"/>
    </row>
    <row r="27" customFormat="false" ht="15.75" hidden="false" customHeight="false" outlineLevel="0" collapsed="false">
      <c r="A27" s="80"/>
      <c r="B27" s="81"/>
      <c r="C27" s="82"/>
      <c r="D27" s="83"/>
      <c r="E27" s="133"/>
      <c r="F27" s="139"/>
      <c r="G27" s="89"/>
      <c r="H27" s="87"/>
      <c r="I27" s="135"/>
      <c r="J27" s="88"/>
      <c r="K27" s="174"/>
      <c r="L27" s="86"/>
      <c r="M27" s="126"/>
      <c r="N27" s="86"/>
      <c r="O27" s="91"/>
      <c r="P27" s="92"/>
      <c r="R27" s="94"/>
      <c r="S27" s="94"/>
      <c r="T27" s="94"/>
    </row>
    <row r="28" customFormat="false" ht="15.75" hidden="false" customHeight="false" outlineLevel="0" collapsed="false">
      <c r="A28" s="95"/>
      <c r="B28" s="25"/>
      <c r="C28" s="26"/>
      <c r="D28" s="27"/>
      <c r="E28" s="130"/>
      <c r="F28" s="175"/>
      <c r="G28" s="30"/>
      <c r="H28" s="31"/>
      <c r="I28" s="32"/>
      <c r="J28" s="33"/>
      <c r="K28" s="176"/>
      <c r="L28" s="32"/>
      <c r="M28" s="34"/>
      <c r="N28" s="32"/>
      <c r="O28" s="35"/>
      <c r="P28" s="36"/>
      <c r="Q28" s="36"/>
      <c r="R28" s="71"/>
      <c r="S28" s="71"/>
      <c r="T28" s="71"/>
      <c r="U28" s="71"/>
      <c r="V28" s="38"/>
    </row>
    <row r="29" customFormat="false" ht="15.75" hidden="false" customHeight="false" outlineLevel="0" collapsed="false">
      <c r="A29" s="39"/>
      <c r="B29" s="40"/>
      <c r="C29" s="41"/>
      <c r="D29" s="42"/>
      <c r="E29" s="133"/>
      <c r="F29" s="139"/>
      <c r="G29" s="45"/>
      <c r="H29" s="46"/>
      <c r="I29" s="47"/>
      <c r="J29" s="48"/>
      <c r="K29" s="45"/>
      <c r="L29" s="47"/>
      <c r="M29" s="49"/>
      <c r="N29" s="47"/>
      <c r="O29" s="50"/>
      <c r="P29" s="51"/>
      <c r="Q29" s="51"/>
      <c r="R29" s="140"/>
      <c r="S29" s="140"/>
      <c r="T29" s="140"/>
      <c r="U29" s="140"/>
    </row>
    <row r="30" customFormat="false" ht="15.75" hidden="false" customHeight="false" outlineLevel="0" collapsed="false">
      <c r="A30" s="95"/>
      <c r="B30" s="25"/>
      <c r="C30" s="26"/>
      <c r="D30" s="27"/>
      <c r="E30" s="130"/>
      <c r="F30" s="175"/>
      <c r="G30" s="30"/>
      <c r="H30" s="31"/>
      <c r="I30" s="32"/>
      <c r="J30" s="33"/>
      <c r="K30" s="30"/>
      <c r="L30" s="32"/>
      <c r="M30" s="34"/>
      <c r="N30" s="32"/>
      <c r="O30" s="35"/>
      <c r="P30" s="36"/>
      <c r="Q30" s="36"/>
      <c r="R30" s="71"/>
      <c r="S30" s="71"/>
      <c r="T30" s="71"/>
      <c r="U30" s="71"/>
      <c r="V30" s="38"/>
    </row>
    <row r="31" customFormat="false" ht="15.75" hidden="false" customHeight="false" outlineLevel="0" collapsed="false">
      <c r="A31" s="39"/>
      <c r="B31" s="40"/>
      <c r="C31" s="41"/>
      <c r="D31" s="42"/>
      <c r="E31" s="133"/>
      <c r="F31" s="139"/>
      <c r="G31" s="45"/>
      <c r="H31" s="46"/>
      <c r="I31" s="47"/>
      <c r="J31" s="48"/>
      <c r="K31" s="45"/>
      <c r="L31" s="47"/>
      <c r="M31" s="49"/>
      <c r="N31" s="47"/>
      <c r="O31" s="50"/>
      <c r="P31" s="51"/>
      <c r="Q31" s="51"/>
      <c r="R31" s="140"/>
      <c r="S31" s="140"/>
      <c r="T31" s="140"/>
      <c r="U31" s="140"/>
    </row>
    <row r="32" customFormat="false" ht="15.75" hidden="false" customHeight="false" outlineLevel="0" collapsed="false">
      <c r="A32" s="80"/>
      <c r="B32" s="81"/>
      <c r="C32" s="82"/>
      <c r="D32" s="83"/>
      <c r="E32" s="133"/>
      <c r="F32" s="139"/>
      <c r="G32" s="89"/>
      <c r="H32" s="87"/>
      <c r="I32" s="86"/>
      <c r="J32" s="88"/>
      <c r="K32" s="89"/>
      <c r="L32" s="86"/>
      <c r="M32" s="126"/>
      <c r="N32" s="86"/>
      <c r="O32" s="91"/>
      <c r="P32" s="145"/>
      <c r="Q32" s="145"/>
      <c r="R32" s="94"/>
      <c r="S32" s="94"/>
      <c r="T32" s="94"/>
      <c r="U32" s="94"/>
    </row>
    <row r="33" customFormat="false" ht="15.75" hidden="false" customHeight="false" outlineLevel="0" collapsed="false">
      <c r="A33" s="80"/>
      <c r="B33" s="81"/>
      <c r="C33" s="82"/>
      <c r="D33" s="83"/>
      <c r="E33" s="133"/>
      <c r="F33" s="139"/>
      <c r="G33" s="89"/>
      <c r="H33" s="87"/>
      <c r="I33" s="135"/>
      <c r="J33" s="88"/>
      <c r="K33" s="89"/>
      <c r="L33" s="86"/>
      <c r="M33" s="126"/>
      <c r="N33" s="86"/>
      <c r="O33" s="91"/>
      <c r="P33" s="145"/>
      <c r="Q33" s="92"/>
      <c r="R33" s="94"/>
      <c r="S33" s="94"/>
      <c r="T33" s="94"/>
      <c r="U33" s="94"/>
    </row>
    <row r="34" customFormat="false" ht="15.75" hidden="false" customHeight="false" outlineLevel="0" collapsed="false">
      <c r="A34" s="80"/>
      <c r="B34" s="81"/>
      <c r="C34" s="82"/>
      <c r="D34" s="83"/>
      <c r="E34" s="133"/>
      <c r="F34" s="139"/>
      <c r="G34" s="89"/>
      <c r="H34" s="87"/>
      <c r="I34" s="86"/>
      <c r="J34" s="88"/>
      <c r="K34" s="174"/>
      <c r="L34" s="86"/>
      <c r="M34" s="126"/>
      <c r="N34" s="86"/>
      <c r="O34" s="91"/>
      <c r="P34" s="92"/>
      <c r="Q34" s="92"/>
      <c r="R34" s="94"/>
      <c r="S34" s="94"/>
      <c r="T34" s="94"/>
      <c r="U34" s="94"/>
    </row>
    <row r="35" customFormat="false" ht="15.75" hidden="false" customHeight="false" outlineLevel="0" collapsed="false">
      <c r="A35" s="95"/>
      <c r="B35" s="25"/>
      <c r="C35" s="26"/>
      <c r="D35" s="27"/>
      <c r="E35" s="130"/>
      <c r="F35" s="175"/>
      <c r="G35" s="30"/>
      <c r="H35" s="195"/>
      <c r="I35" s="32"/>
      <c r="J35" s="33"/>
      <c r="K35" s="176"/>
      <c r="L35" s="32"/>
      <c r="M35" s="34"/>
      <c r="N35" s="32"/>
      <c r="O35" s="35"/>
      <c r="P35" s="36"/>
      <c r="Q35" s="36"/>
      <c r="R35" s="71"/>
      <c r="S35" s="71"/>
      <c r="T35" s="71"/>
      <c r="U35" s="71"/>
      <c r="V35" s="38"/>
    </row>
    <row r="36" customFormat="false" ht="15.75" hidden="false" customHeight="true" outlineLevel="0" collapsed="false">
      <c r="A36" s="39"/>
      <c r="B36" s="40"/>
      <c r="C36" s="41"/>
      <c r="D36" s="201"/>
      <c r="E36" s="133"/>
      <c r="F36" s="139"/>
      <c r="G36" s="47"/>
      <c r="H36" s="202"/>
      <c r="I36" s="47"/>
      <c r="J36" s="48"/>
      <c r="K36" s="45"/>
      <c r="L36" s="47"/>
      <c r="M36" s="79"/>
      <c r="N36" s="47"/>
      <c r="O36" s="50"/>
      <c r="P36" s="51"/>
      <c r="Q36" s="51"/>
      <c r="R36" s="140"/>
      <c r="S36" s="140"/>
      <c r="T36" s="140"/>
      <c r="U36" s="140"/>
    </row>
    <row r="37" customFormat="false" ht="15.75" hidden="false" customHeight="false" outlineLevel="0" collapsed="false">
      <c r="A37" s="80"/>
      <c r="B37" s="81"/>
      <c r="C37" s="82"/>
      <c r="D37" s="83"/>
      <c r="E37" s="133"/>
      <c r="F37" s="139"/>
      <c r="G37" s="86"/>
      <c r="H37" s="87"/>
      <c r="I37" s="86"/>
      <c r="J37" s="88"/>
      <c r="K37" s="89"/>
      <c r="L37" s="86"/>
      <c r="M37" s="122"/>
      <c r="N37" s="86"/>
      <c r="O37" s="91"/>
      <c r="P37" s="92"/>
      <c r="Q37" s="92"/>
      <c r="R37" s="94"/>
      <c r="S37" s="94"/>
      <c r="T37" s="94"/>
      <c r="U37" s="94"/>
    </row>
    <row r="38" customFormat="false" ht="15.75" hidden="false" customHeight="false" outlineLevel="0" collapsed="false">
      <c r="A38" s="80"/>
      <c r="B38" s="81"/>
      <c r="C38" s="82"/>
      <c r="D38" s="83"/>
      <c r="E38" s="133"/>
      <c r="F38" s="134"/>
      <c r="G38" s="86"/>
      <c r="H38" s="87"/>
      <c r="I38" s="86"/>
      <c r="J38" s="88"/>
      <c r="K38" s="89"/>
      <c r="L38" s="86"/>
      <c r="M38" s="122"/>
      <c r="N38" s="86"/>
      <c r="O38" s="91"/>
      <c r="P38" s="92"/>
      <c r="Q38" s="92"/>
      <c r="R38" s="94"/>
      <c r="S38" s="94"/>
      <c r="T38" s="94"/>
      <c r="U38" s="94"/>
    </row>
    <row r="39" customFormat="false" ht="15.75" hidden="false" customHeight="false" outlineLevel="0" collapsed="false">
      <c r="A39" s="80"/>
      <c r="B39" s="81"/>
      <c r="C39" s="82"/>
      <c r="D39" s="83"/>
      <c r="E39" s="133"/>
      <c r="F39" s="134"/>
      <c r="G39" s="86"/>
      <c r="H39" s="87"/>
      <c r="I39" s="86"/>
      <c r="J39" s="88"/>
      <c r="K39" s="89"/>
      <c r="L39" s="86"/>
      <c r="M39" s="122"/>
      <c r="N39" s="86"/>
      <c r="O39" s="91"/>
      <c r="P39" s="92"/>
      <c r="Q39" s="92"/>
      <c r="R39" s="94"/>
      <c r="S39" s="94"/>
      <c r="T39" s="94"/>
      <c r="U39" s="94"/>
    </row>
    <row r="40" customFormat="false" ht="15.75" hidden="false" customHeight="true" outlineLevel="0" collapsed="false">
      <c r="A40" s="80"/>
      <c r="B40" s="81"/>
      <c r="C40" s="82"/>
      <c r="D40" s="83"/>
      <c r="E40" s="133"/>
      <c r="F40" s="134"/>
      <c r="G40" s="86"/>
      <c r="H40" s="87"/>
      <c r="I40" s="86"/>
      <c r="J40" s="88"/>
      <c r="K40" s="89"/>
      <c r="L40" s="86"/>
      <c r="M40" s="122"/>
      <c r="N40" s="86"/>
      <c r="O40" s="91"/>
      <c r="P40" s="145"/>
      <c r="Q40" s="145"/>
      <c r="R40" s="94"/>
      <c r="S40" s="94"/>
      <c r="T40" s="94"/>
      <c r="U40" s="94"/>
    </row>
    <row r="41" customFormat="false" ht="15.75" hidden="false" customHeight="false" outlineLevel="0" collapsed="false">
      <c r="A41" s="80"/>
      <c r="B41" s="81"/>
      <c r="C41" s="82"/>
      <c r="D41" s="83"/>
      <c r="E41" s="133"/>
      <c r="F41" s="134"/>
      <c r="G41" s="86"/>
      <c r="H41" s="87"/>
      <c r="I41" s="203"/>
      <c r="J41" s="88"/>
      <c r="K41" s="89"/>
      <c r="L41" s="86"/>
      <c r="M41" s="122"/>
      <c r="N41" s="86"/>
      <c r="O41" s="91"/>
      <c r="P41" s="92"/>
      <c r="Q41" s="92"/>
      <c r="R41" s="94"/>
      <c r="S41" s="94"/>
      <c r="T41" s="94"/>
      <c r="U41" s="94"/>
    </row>
    <row r="42" customFormat="false" ht="15.75" hidden="false" customHeight="false" outlineLevel="0" collapsed="false">
      <c r="A42" s="80"/>
      <c r="B42" s="81"/>
      <c r="C42" s="82"/>
      <c r="D42" s="83"/>
      <c r="E42" s="133"/>
      <c r="F42" s="139"/>
      <c r="G42" s="86"/>
      <c r="H42" s="87"/>
      <c r="I42" s="86"/>
      <c r="J42" s="88"/>
      <c r="K42" s="89"/>
      <c r="L42" s="86"/>
      <c r="M42" s="122"/>
      <c r="N42" s="86"/>
      <c r="O42" s="91"/>
      <c r="P42" s="92"/>
      <c r="Q42" s="92"/>
      <c r="R42" s="94"/>
      <c r="S42" s="94"/>
      <c r="T42" s="94"/>
      <c r="U42" s="94"/>
    </row>
    <row r="43" customFormat="false" ht="15.75" hidden="false" customHeight="false" outlineLevel="0" collapsed="false">
      <c r="A43" s="80"/>
      <c r="B43" s="81"/>
      <c r="C43" s="82"/>
      <c r="D43" s="83"/>
      <c r="E43" s="133"/>
      <c r="F43" s="139"/>
      <c r="G43" s="86"/>
      <c r="H43" s="87"/>
      <c r="I43" s="86"/>
      <c r="J43" s="88"/>
      <c r="K43" s="89"/>
      <c r="L43" s="86"/>
      <c r="M43" s="122"/>
      <c r="N43" s="86"/>
      <c r="O43" s="91"/>
      <c r="P43" s="92"/>
      <c r="Q43" s="92"/>
      <c r="R43" s="94"/>
      <c r="S43" s="94"/>
      <c r="T43" s="94"/>
      <c r="U43" s="94"/>
    </row>
    <row r="44" customFormat="false" ht="15.75" hidden="false" customHeight="false" outlineLevel="0" collapsed="false">
      <c r="A44" s="95"/>
      <c r="B44" s="25"/>
      <c r="C44" s="26"/>
      <c r="D44" s="27"/>
      <c r="E44" s="130"/>
      <c r="F44" s="175"/>
      <c r="G44" s="32"/>
      <c r="H44" s="31"/>
      <c r="I44" s="32"/>
      <c r="J44" s="33"/>
      <c r="K44" s="30"/>
      <c r="L44" s="32"/>
      <c r="M44" s="98"/>
      <c r="N44" s="32"/>
      <c r="O44" s="35"/>
      <c r="P44" s="213"/>
      <c r="Q44" s="213"/>
      <c r="R44" s="71"/>
      <c r="S44" s="71"/>
      <c r="T44" s="71"/>
      <c r="U44" s="71"/>
      <c r="V44" s="38"/>
    </row>
    <row r="45" customFormat="false" ht="15.75" hidden="false" customHeight="false" outlineLevel="0" collapsed="false">
      <c r="A45" s="39"/>
      <c r="B45" s="40"/>
      <c r="C45" s="41"/>
      <c r="D45" s="214"/>
      <c r="E45" s="133"/>
      <c r="F45" s="139"/>
      <c r="G45" s="47"/>
      <c r="H45" s="46"/>
      <c r="I45" s="47"/>
      <c r="J45" s="48"/>
      <c r="K45" s="45"/>
      <c r="L45" s="47"/>
      <c r="M45" s="79"/>
      <c r="N45" s="47"/>
      <c r="O45" s="50"/>
      <c r="P45" s="51"/>
      <c r="Q45" s="51"/>
      <c r="R45" s="140"/>
      <c r="S45" s="140"/>
      <c r="T45" s="140"/>
      <c r="U45" s="140"/>
    </row>
    <row r="46" customFormat="false" ht="15.75" hidden="false" customHeight="false" outlineLevel="0" collapsed="false">
      <c r="A46" s="80"/>
      <c r="B46" s="81"/>
      <c r="C46" s="82"/>
      <c r="D46" s="83"/>
      <c r="E46" s="133"/>
      <c r="F46" s="134"/>
      <c r="G46" s="86"/>
      <c r="H46" s="215"/>
      <c r="I46" s="86"/>
      <c r="J46" s="88"/>
      <c r="K46" s="89"/>
      <c r="L46" s="86"/>
      <c r="M46" s="122"/>
      <c r="N46" s="86"/>
      <c r="O46" s="91"/>
      <c r="P46" s="92"/>
      <c r="Q46" s="92"/>
      <c r="R46" s="94"/>
      <c r="S46" s="94"/>
      <c r="T46" s="94"/>
      <c r="U46" s="94"/>
    </row>
    <row r="47" customFormat="false" ht="15.75" hidden="false" customHeight="false" outlineLevel="0" collapsed="false">
      <c r="A47" s="95"/>
      <c r="B47" s="25"/>
      <c r="C47" s="26"/>
      <c r="D47" s="27"/>
      <c r="E47" s="130"/>
      <c r="F47" s="131"/>
      <c r="G47" s="32"/>
      <c r="H47" s="31"/>
      <c r="I47" s="231"/>
      <c r="J47" s="33"/>
      <c r="K47" s="30"/>
      <c r="L47" s="32"/>
      <c r="M47" s="98"/>
      <c r="N47" s="32"/>
      <c r="O47" s="35"/>
      <c r="P47" s="36"/>
      <c r="Q47" s="36"/>
      <c r="R47" s="71"/>
      <c r="S47" s="71"/>
      <c r="T47" s="71"/>
      <c r="U47" s="71"/>
      <c r="V47" s="38"/>
    </row>
    <row r="48" customFormat="false" ht="15.75" hidden="false" customHeight="false" outlineLevel="0" collapsed="false">
      <c r="A48" s="39"/>
      <c r="B48" s="40"/>
      <c r="C48" s="41"/>
      <c r="D48" s="42"/>
      <c r="E48" s="133"/>
      <c r="F48" s="134"/>
      <c r="G48" s="47"/>
      <c r="H48" s="46"/>
      <c r="I48" s="47"/>
      <c r="J48" s="48"/>
      <c r="K48" s="45"/>
      <c r="L48" s="47"/>
      <c r="M48" s="79"/>
      <c r="N48" s="47"/>
      <c r="O48" s="50"/>
      <c r="P48" s="232"/>
      <c r="Q48" s="232"/>
      <c r="R48" s="140"/>
      <c r="S48" s="140"/>
      <c r="T48" s="140"/>
      <c r="U48" s="140"/>
    </row>
    <row r="49" customFormat="false" ht="15.75" hidden="false" customHeight="false" outlineLevel="0" collapsed="false">
      <c r="A49" s="95"/>
      <c r="B49" s="25"/>
      <c r="C49" s="26"/>
      <c r="D49" s="27"/>
      <c r="E49" s="130"/>
      <c r="F49" s="175"/>
      <c r="G49" s="32"/>
      <c r="H49" s="31"/>
      <c r="I49" s="233"/>
      <c r="J49" s="33"/>
      <c r="K49" s="30"/>
      <c r="L49" s="32"/>
      <c r="M49" s="98"/>
      <c r="N49" s="32"/>
      <c r="O49" s="35"/>
      <c r="P49" s="36"/>
      <c r="Q49" s="36"/>
      <c r="R49" s="71"/>
      <c r="S49" s="71"/>
      <c r="T49" s="71"/>
      <c r="U49" s="71"/>
      <c r="V49" s="38"/>
    </row>
    <row r="50" customFormat="false" ht="15.75" hidden="false" customHeight="false" outlineLevel="0" collapsed="false">
      <c r="A50" s="39"/>
      <c r="B50" s="40"/>
      <c r="C50" s="41"/>
      <c r="D50" s="214"/>
      <c r="E50" s="133"/>
      <c r="F50" s="139"/>
      <c r="G50" s="47"/>
      <c r="H50" s="46"/>
      <c r="I50" s="47"/>
      <c r="J50" s="48"/>
      <c r="K50" s="45"/>
      <c r="L50" s="47"/>
      <c r="M50" s="79"/>
      <c r="N50" s="47"/>
      <c r="O50" s="50"/>
      <c r="P50" s="51"/>
      <c r="Q50" s="51"/>
      <c r="R50" s="140"/>
      <c r="S50" s="140"/>
      <c r="T50" s="140"/>
      <c r="U50" s="140"/>
    </row>
    <row r="51" customFormat="false" ht="15.75" hidden="false" customHeight="false" outlineLevel="0" collapsed="false">
      <c r="A51" s="80"/>
      <c r="B51" s="81"/>
      <c r="C51" s="82"/>
      <c r="D51" s="83"/>
      <c r="E51" s="133"/>
      <c r="F51" s="139"/>
      <c r="G51" s="86"/>
      <c r="H51" s="87"/>
      <c r="I51" s="86"/>
      <c r="J51" s="88"/>
      <c r="K51" s="89"/>
      <c r="L51" s="86"/>
      <c r="M51" s="122"/>
      <c r="N51" s="86"/>
      <c r="O51" s="91"/>
      <c r="P51" s="92"/>
      <c r="Q51" s="92"/>
      <c r="R51" s="94"/>
      <c r="S51" s="94"/>
      <c r="T51" s="94"/>
      <c r="U51" s="94"/>
    </row>
    <row r="52" customFormat="false" ht="15.75" hidden="false" customHeight="false" outlineLevel="0" collapsed="false">
      <c r="A52" s="80"/>
      <c r="B52" s="81"/>
      <c r="C52" s="82"/>
      <c r="D52" s="83"/>
      <c r="E52" s="133"/>
      <c r="F52" s="139"/>
      <c r="G52" s="86"/>
      <c r="H52" s="87"/>
      <c r="I52" s="86"/>
      <c r="J52" s="88"/>
      <c r="K52" s="89"/>
      <c r="L52" s="86"/>
      <c r="M52" s="122"/>
      <c r="N52" s="86"/>
      <c r="O52" s="91"/>
      <c r="P52" s="92"/>
      <c r="Q52" s="92"/>
      <c r="R52" s="94"/>
      <c r="S52" s="94"/>
      <c r="T52" s="94"/>
      <c r="U52" s="94"/>
    </row>
    <row r="53" customFormat="false" ht="15.75" hidden="false" customHeight="false" outlineLevel="0" collapsed="false">
      <c r="A53" s="80"/>
      <c r="B53" s="81"/>
      <c r="C53" s="82"/>
      <c r="D53" s="83"/>
      <c r="E53" s="133"/>
      <c r="F53" s="139"/>
      <c r="G53" s="86"/>
      <c r="H53" s="87"/>
      <c r="I53" s="86"/>
      <c r="J53" s="88"/>
      <c r="K53" s="89"/>
      <c r="L53" s="86"/>
      <c r="M53" s="122"/>
      <c r="N53" s="86"/>
      <c r="O53" s="91"/>
      <c r="P53" s="92"/>
      <c r="Q53" s="92"/>
      <c r="R53" s="94"/>
      <c r="S53" s="94"/>
      <c r="T53" s="94"/>
      <c r="U53" s="94"/>
    </row>
    <row r="54" customFormat="false" ht="15.75" hidden="false" customHeight="false" outlineLevel="0" collapsed="false">
      <c r="A54" s="80"/>
      <c r="B54" s="81"/>
      <c r="C54" s="82"/>
      <c r="D54" s="83"/>
      <c r="E54" s="133"/>
      <c r="F54" s="139"/>
      <c r="G54" s="86"/>
      <c r="H54" s="87"/>
      <c r="I54" s="86"/>
      <c r="J54" s="88"/>
      <c r="K54" s="89"/>
      <c r="L54" s="86"/>
      <c r="M54" s="122"/>
      <c r="N54" s="86"/>
      <c r="O54" s="91"/>
      <c r="P54" s="145"/>
      <c r="Q54" s="145"/>
      <c r="R54" s="94"/>
      <c r="S54" s="94"/>
      <c r="T54" s="94"/>
      <c r="U54" s="94"/>
    </row>
    <row r="55" customFormat="false" ht="15.75" hidden="false" customHeight="false" outlineLevel="0" collapsed="false">
      <c r="A55" s="80"/>
      <c r="B55" s="81"/>
      <c r="C55" s="82"/>
      <c r="D55" s="83"/>
      <c r="E55" s="133"/>
      <c r="F55" s="139"/>
      <c r="G55" s="86"/>
      <c r="H55" s="87"/>
      <c r="I55" s="86"/>
      <c r="J55" s="88"/>
      <c r="K55" s="89"/>
      <c r="L55" s="86"/>
      <c r="M55" s="122"/>
      <c r="N55" s="86"/>
      <c r="O55" s="91"/>
      <c r="P55" s="92"/>
      <c r="Q55" s="92"/>
      <c r="R55" s="94"/>
      <c r="S55" s="94"/>
      <c r="T55" s="94"/>
      <c r="U55" s="94"/>
    </row>
    <row r="56" customFormat="false" ht="15.75" hidden="false" customHeight="false" outlineLevel="0" collapsed="false">
      <c r="A56" s="95"/>
      <c r="B56" s="25"/>
      <c r="C56" s="26"/>
      <c r="D56" s="27"/>
      <c r="E56" s="130"/>
      <c r="F56" s="175"/>
      <c r="G56" s="32"/>
      <c r="H56" s="31"/>
      <c r="I56" s="236"/>
      <c r="J56" s="33"/>
      <c r="K56" s="30"/>
      <c r="L56" s="32"/>
      <c r="M56" s="98"/>
      <c r="N56" s="32"/>
      <c r="O56" s="35"/>
      <c r="P56" s="237"/>
      <c r="Q56" s="237"/>
      <c r="R56" s="71"/>
      <c r="S56" s="71"/>
      <c r="T56" s="71"/>
      <c r="U56" s="71"/>
      <c r="V56" s="38"/>
    </row>
    <row r="57" customFormat="false" ht="15.75" hidden="false" customHeight="false" outlineLevel="0" collapsed="false">
      <c r="A57" s="285"/>
      <c r="B57" s="100"/>
      <c r="C57" s="101"/>
      <c r="D57" s="102"/>
      <c r="E57" s="130"/>
      <c r="F57" s="175"/>
      <c r="G57" s="107"/>
      <c r="H57" s="106"/>
      <c r="I57" s="107"/>
      <c r="J57" s="108"/>
      <c r="K57" s="105"/>
      <c r="L57" s="107"/>
      <c r="M57" s="238"/>
      <c r="N57" s="107"/>
      <c r="O57" s="110"/>
      <c r="P57" s="111"/>
      <c r="Q57" s="111"/>
      <c r="R57" s="239"/>
      <c r="S57" s="239"/>
      <c r="T57" s="239"/>
      <c r="U57" s="239"/>
      <c r="V57" s="38"/>
    </row>
    <row r="58" customFormat="false" ht="15.75" hidden="false" customHeight="false" outlineLevel="0" collapsed="false">
      <c r="A58" s="285"/>
      <c r="B58" s="100"/>
      <c r="C58" s="101"/>
      <c r="D58" s="102"/>
      <c r="E58" s="130"/>
      <c r="F58" s="175"/>
      <c r="G58" s="107"/>
      <c r="H58" s="106"/>
      <c r="I58" s="240"/>
      <c r="J58" s="108"/>
      <c r="K58" s="105"/>
      <c r="L58" s="107"/>
      <c r="M58" s="238"/>
      <c r="N58" s="107"/>
      <c r="O58" s="241"/>
      <c r="P58" s="111"/>
      <c r="Q58" s="111"/>
      <c r="R58" s="239"/>
      <c r="S58" s="239"/>
      <c r="T58" s="239"/>
      <c r="U58" s="239"/>
      <c r="V58" s="38"/>
    </row>
    <row r="59" customFormat="false" ht="15.75" hidden="false" customHeight="false" outlineLevel="0" collapsed="false">
      <c r="A59" s="39"/>
      <c r="B59" s="40"/>
      <c r="C59" s="41"/>
      <c r="D59" s="42"/>
      <c r="E59" s="133"/>
      <c r="F59" s="139"/>
      <c r="G59" s="47"/>
      <c r="H59" s="46"/>
      <c r="I59" s="243"/>
      <c r="J59" s="48"/>
      <c r="K59" s="45"/>
      <c r="L59" s="47"/>
      <c r="M59" s="79"/>
      <c r="N59" s="47"/>
      <c r="O59" s="50"/>
      <c r="P59" s="244"/>
      <c r="Q59" s="244"/>
      <c r="R59" s="140"/>
      <c r="S59" s="140"/>
      <c r="T59" s="140"/>
      <c r="U59" s="140"/>
    </row>
    <row r="60" customFormat="false" ht="15.75" hidden="false" customHeight="false" outlineLevel="0" collapsed="false">
      <c r="A60" s="80"/>
      <c r="B60" s="81"/>
      <c r="C60" s="82"/>
      <c r="D60" s="83"/>
      <c r="E60" s="133"/>
      <c r="F60" s="139"/>
      <c r="G60" s="86"/>
      <c r="H60" s="87"/>
      <c r="I60" s="203"/>
      <c r="J60" s="88"/>
      <c r="K60" s="174"/>
      <c r="L60" s="86"/>
      <c r="M60" s="90"/>
      <c r="N60" s="86"/>
      <c r="O60" s="91"/>
      <c r="P60" s="92"/>
      <c r="Q60" s="92"/>
      <c r="R60" s="94"/>
      <c r="S60" s="94"/>
      <c r="T60" s="94"/>
      <c r="U60" s="94"/>
    </row>
    <row r="61" customFormat="false" ht="15.75" hidden="false" customHeight="false" outlineLevel="0" collapsed="false">
      <c r="A61" s="80"/>
      <c r="B61" s="81"/>
      <c r="C61" s="82"/>
      <c r="D61" s="83"/>
      <c r="E61" s="133"/>
      <c r="F61" s="139"/>
      <c r="G61" s="86"/>
      <c r="H61" s="87"/>
      <c r="I61" s="135"/>
      <c r="J61" s="88"/>
      <c r="K61" s="174"/>
      <c r="L61" s="86"/>
      <c r="M61" s="90"/>
      <c r="N61" s="86"/>
      <c r="O61" s="91"/>
      <c r="P61" s="92"/>
      <c r="Q61" s="92"/>
      <c r="R61" s="94"/>
      <c r="S61" s="94"/>
      <c r="T61" s="94"/>
      <c r="U61" s="94"/>
    </row>
    <row r="62" customFormat="false" ht="15.75" hidden="false" customHeight="false" outlineLevel="0" collapsed="false">
      <c r="A62" s="95"/>
      <c r="B62" s="25"/>
      <c r="C62" s="26"/>
      <c r="D62" s="27"/>
      <c r="E62" s="130"/>
      <c r="F62" s="175"/>
      <c r="G62" s="32"/>
      <c r="H62" s="31"/>
      <c r="I62" s="32"/>
      <c r="J62" s="33"/>
      <c r="K62" s="176"/>
      <c r="L62" s="32"/>
      <c r="M62" s="255"/>
      <c r="N62" s="32"/>
      <c r="O62" s="35"/>
      <c r="P62" s="36"/>
      <c r="Q62" s="36"/>
      <c r="R62" s="71"/>
      <c r="S62" s="71"/>
      <c r="T62" s="71"/>
      <c r="U62" s="71"/>
      <c r="V62" s="38"/>
    </row>
    <row r="63" customFormat="false" ht="15.75" hidden="false" customHeight="false" outlineLevel="0" collapsed="false">
      <c r="A63" s="39"/>
      <c r="B63" s="40"/>
      <c r="C63" s="41"/>
      <c r="D63" s="42"/>
      <c r="E63" s="133"/>
      <c r="F63" s="139"/>
      <c r="G63" s="47"/>
      <c r="H63" s="46"/>
      <c r="I63" s="47"/>
      <c r="J63" s="48"/>
      <c r="K63" s="45"/>
      <c r="L63" s="47"/>
      <c r="M63" s="79"/>
      <c r="N63" s="47"/>
      <c r="O63" s="50"/>
      <c r="P63" s="51"/>
      <c r="Q63" s="51"/>
      <c r="R63" s="140"/>
      <c r="S63" s="140"/>
      <c r="T63" s="140"/>
      <c r="U63" s="140"/>
    </row>
    <row r="64" customFormat="false" ht="15.75" hidden="false" customHeight="false" outlineLevel="0" collapsed="false">
      <c r="A64" s="80"/>
      <c r="B64" s="81"/>
      <c r="C64" s="82"/>
      <c r="D64" s="83"/>
      <c r="E64" s="133"/>
      <c r="F64" s="139"/>
      <c r="G64" s="86"/>
      <c r="H64" s="257"/>
      <c r="I64" s="86"/>
      <c r="J64" s="88"/>
      <c r="K64" s="89"/>
      <c r="L64" s="86"/>
      <c r="M64" s="122"/>
      <c r="N64" s="86"/>
      <c r="O64" s="91"/>
      <c r="P64" s="92"/>
      <c r="Q64" s="92"/>
      <c r="R64" s="94"/>
      <c r="S64" s="94"/>
      <c r="T64" s="94"/>
      <c r="U64" s="94"/>
    </row>
    <row r="65" customFormat="false" ht="15.75" hidden="false" customHeight="false" outlineLevel="0" collapsed="false">
      <c r="A65" s="80"/>
      <c r="B65" s="81"/>
      <c r="C65" s="82"/>
      <c r="D65" s="83"/>
      <c r="E65" s="133"/>
      <c r="F65" s="139"/>
      <c r="G65" s="86"/>
      <c r="H65" s="87"/>
      <c r="I65" s="86"/>
      <c r="J65" s="88"/>
      <c r="K65" s="89"/>
      <c r="L65" s="86"/>
      <c r="M65" s="122"/>
      <c r="N65" s="86"/>
      <c r="O65" s="91"/>
      <c r="P65" s="145"/>
      <c r="Q65" s="92"/>
      <c r="R65" s="94"/>
      <c r="S65" s="94"/>
      <c r="T65" s="94"/>
      <c r="U65" s="94"/>
    </row>
    <row r="66" customFormat="false" ht="15.75" hidden="false" customHeight="false" outlineLevel="0" collapsed="false">
      <c r="A66" s="80"/>
      <c r="B66" s="81"/>
      <c r="C66" s="82"/>
      <c r="D66" s="83"/>
      <c r="E66" s="133"/>
      <c r="F66" s="139"/>
      <c r="G66" s="86"/>
      <c r="H66" s="87"/>
      <c r="I66" s="86"/>
      <c r="J66" s="88"/>
      <c r="K66" s="89"/>
      <c r="L66" s="86"/>
      <c r="M66" s="122"/>
      <c r="N66" s="86"/>
      <c r="O66" s="91"/>
      <c r="P66" s="145"/>
      <c r="Q66" s="145"/>
      <c r="R66" s="94"/>
      <c r="S66" s="94"/>
      <c r="T66" s="94"/>
      <c r="U66" s="94"/>
    </row>
    <row r="67" customFormat="false" ht="15.75" hidden="false" customHeight="false" outlineLevel="0" collapsed="false">
      <c r="A67" s="80"/>
      <c r="B67" s="81"/>
      <c r="C67" s="82"/>
      <c r="D67" s="83"/>
      <c r="E67" s="133"/>
      <c r="F67" s="139"/>
      <c r="G67" s="86"/>
      <c r="H67" s="87"/>
      <c r="I67" s="86"/>
      <c r="J67" s="88"/>
      <c r="K67" s="174"/>
      <c r="L67" s="86"/>
      <c r="M67" s="122"/>
      <c r="N67" s="86"/>
      <c r="O67" s="91"/>
      <c r="P67" s="92"/>
      <c r="Q67" s="92"/>
      <c r="R67" s="94"/>
      <c r="S67" s="94"/>
      <c r="T67" s="94"/>
      <c r="U67" s="94"/>
    </row>
    <row r="68" customFormat="false" ht="15.75" hidden="false" customHeight="false" outlineLevel="0" collapsed="false">
      <c r="A68" s="80"/>
      <c r="B68" s="81"/>
      <c r="C68" s="82"/>
      <c r="D68" s="83"/>
      <c r="E68" s="133"/>
      <c r="F68" s="139"/>
      <c r="G68" s="86"/>
      <c r="H68" s="87"/>
      <c r="I68" s="86"/>
      <c r="J68" s="88"/>
      <c r="K68" s="89"/>
      <c r="L68" s="86"/>
      <c r="M68" s="122"/>
      <c r="N68" s="86"/>
      <c r="O68" s="91"/>
      <c r="P68" s="92"/>
      <c r="Q68" s="92"/>
      <c r="R68" s="94"/>
      <c r="S68" s="94"/>
      <c r="T68" s="94"/>
      <c r="U68" s="94"/>
    </row>
    <row r="69" customFormat="false" ht="15.75" hidden="false" customHeight="false" outlineLevel="0" collapsed="false">
      <c r="A69" s="80"/>
      <c r="B69" s="81"/>
      <c r="C69" s="82"/>
      <c r="D69" s="83"/>
      <c r="E69" s="133"/>
      <c r="F69" s="139"/>
      <c r="G69" s="86"/>
      <c r="H69" s="87"/>
      <c r="I69" s="86"/>
      <c r="J69" s="88"/>
      <c r="K69" s="89"/>
      <c r="L69" s="86"/>
      <c r="M69" s="122"/>
      <c r="N69" s="86"/>
      <c r="O69" s="91"/>
      <c r="P69" s="92"/>
      <c r="Q69" s="92"/>
      <c r="R69" s="94"/>
      <c r="S69" s="94"/>
      <c r="T69" s="94"/>
      <c r="U69" s="94"/>
    </row>
    <row r="70" customFormat="false" ht="15.75" hidden="false" customHeight="false" outlineLevel="0" collapsed="false">
      <c r="A70" s="95"/>
      <c r="B70" s="25"/>
      <c r="C70" s="26"/>
      <c r="D70" s="27"/>
      <c r="E70" s="130"/>
      <c r="F70" s="175"/>
      <c r="G70" s="32"/>
      <c r="H70" s="31"/>
      <c r="I70" s="32"/>
      <c r="J70" s="33"/>
      <c r="K70" s="30"/>
      <c r="L70" s="32"/>
      <c r="M70" s="98"/>
      <c r="N70" s="32"/>
      <c r="O70" s="35"/>
      <c r="P70" s="36"/>
      <c r="Q70" s="36"/>
      <c r="R70" s="71"/>
      <c r="S70" s="71"/>
      <c r="T70" s="71"/>
      <c r="U70" s="71"/>
      <c r="V70" s="38"/>
    </row>
    <row r="71" customFormat="false" ht="15.75" hidden="false" customHeight="false" outlineLevel="0" collapsed="false">
      <c r="A71" s="285"/>
      <c r="B71" s="100"/>
      <c r="C71" s="101"/>
      <c r="D71" s="102"/>
      <c r="E71" s="130"/>
      <c r="F71" s="175"/>
      <c r="G71" s="107"/>
      <c r="H71" s="106"/>
      <c r="I71" s="277"/>
      <c r="J71" s="108"/>
      <c r="K71" s="278"/>
      <c r="L71" s="107"/>
      <c r="M71" s="238"/>
      <c r="N71" s="107"/>
      <c r="O71" s="110"/>
      <c r="P71" s="111"/>
      <c r="Q71" s="111"/>
      <c r="R71" s="239"/>
      <c r="S71" s="239"/>
      <c r="T71" s="239"/>
      <c r="U71" s="239"/>
      <c r="V71" s="38"/>
    </row>
    <row r="72" customFormat="false" ht="15.75" hidden="false" customHeight="false" outlineLevel="0" collapsed="false">
      <c r="A72" s="39"/>
      <c r="B72" s="40"/>
      <c r="C72" s="41"/>
      <c r="D72" s="42"/>
      <c r="E72" s="133"/>
      <c r="F72" s="139"/>
      <c r="G72" s="47"/>
      <c r="H72" s="46"/>
      <c r="I72" s="279"/>
      <c r="J72" s="48"/>
      <c r="K72" s="114"/>
      <c r="L72" s="47"/>
      <c r="M72" s="79"/>
      <c r="N72" s="47"/>
      <c r="O72" s="50"/>
      <c r="P72" s="51"/>
      <c r="Q72" s="51"/>
      <c r="R72" s="140"/>
      <c r="S72" s="140"/>
      <c r="T72" s="140"/>
      <c r="U72" s="140"/>
    </row>
    <row r="73" customFormat="false" ht="15.75" hidden="false" customHeight="false" outlineLevel="0" collapsed="false">
      <c r="A73" s="80"/>
      <c r="B73" s="81"/>
      <c r="C73" s="82"/>
      <c r="D73" s="83"/>
      <c r="E73" s="133"/>
      <c r="F73" s="134"/>
      <c r="G73" s="86"/>
      <c r="H73" s="87"/>
      <c r="I73" s="280"/>
      <c r="J73" s="88"/>
      <c r="K73" s="89"/>
      <c r="L73" s="86"/>
      <c r="M73" s="122"/>
      <c r="N73" s="86"/>
      <c r="O73" s="91"/>
      <c r="P73" s="127"/>
      <c r="Q73" s="127"/>
      <c r="R73" s="94"/>
      <c r="S73" s="94"/>
      <c r="T73" s="94"/>
      <c r="U73" s="94"/>
    </row>
    <row r="74" customFormat="false" ht="15.75" hidden="false" customHeight="false" outlineLevel="0" collapsed="false">
      <c r="A74" s="95"/>
      <c r="B74" s="25"/>
      <c r="C74" s="26"/>
      <c r="D74" s="27"/>
      <c r="E74" s="130"/>
      <c r="F74" s="131"/>
      <c r="G74" s="32"/>
      <c r="H74" s="31"/>
      <c r="I74" s="231"/>
      <c r="J74" s="33"/>
      <c r="K74" s="176"/>
      <c r="L74" s="32"/>
      <c r="M74" s="255"/>
      <c r="N74" s="32"/>
      <c r="O74" s="35"/>
      <c r="P74" s="36"/>
      <c r="Q74" s="36"/>
      <c r="R74" s="71"/>
      <c r="S74" s="71"/>
      <c r="T74" s="71"/>
      <c r="U74" s="71"/>
      <c r="V74" s="38"/>
    </row>
    <row r="75" customFormat="false" ht="15.75" hidden="false" customHeight="true" outlineLevel="0" collapsed="false">
      <c r="A75" s="285"/>
      <c r="B75" s="100"/>
      <c r="C75" s="101"/>
      <c r="D75" s="102"/>
      <c r="E75" s="130"/>
      <c r="F75" s="131"/>
      <c r="G75" s="107"/>
      <c r="H75" s="286"/>
      <c r="I75" s="107"/>
      <c r="J75" s="108"/>
      <c r="K75" s="105"/>
      <c r="L75" s="107"/>
      <c r="M75" s="238"/>
      <c r="N75" s="107"/>
      <c r="O75" s="110"/>
      <c r="P75" s="111"/>
      <c r="Q75" s="111"/>
      <c r="R75" s="239"/>
      <c r="S75" s="239"/>
      <c r="T75" s="239"/>
      <c r="U75" s="239"/>
      <c r="V75" s="38"/>
    </row>
    <row r="76" customFormat="false" ht="15.75" hidden="false" customHeight="false" outlineLevel="0" collapsed="false">
      <c r="A76" s="285"/>
      <c r="B76" s="100"/>
      <c r="C76" s="101"/>
      <c r="D76" s="102"/>
      <c r="E76" s="130"/>
      <c r="F76" s="175"/>
      <c r="G76" s="107"/>
      <c r="H76" s="106"/>
      <c r="I76" s="277"/>
      <c r="J76" s="108"/>
      <c r="K76" s="105"/>
      <c r="L76" s="107"/>
      <c r="M76" s="238"/>
      <c r="N76" s="107"/>
      <c r="O76" s="110"/>
      <c r="P76" s="111"/>
      <c r="Q76" s="111"/>
      <c r="R76" s="239"/>
      <c r="S76" s="239"/>
      <c r="T76" s="239"/>
      <c r="U76" s="239"/>
      <c r="V76" s="38"/>
    </row>
    <row r="77" customFormat="false" ht="15.75" hidden="false" customHeight="false" outlineLevel="0" collapsed="false">
      <c r="A77" s="39"/>
      <c r="B77" s="40"/>
      <c r="C77" s="41"/>
      <c r="D77" s="42"/>
      <c r="E77" s="133"/>
      <c r="F77" s="139"/>
      <c r="G77" s="47"/>
      <c r="H77" s="202"/>
      <c r="I77" s="279"/>
      <c r="J77" s="48"/>
      <c r="K77" s="45"/>
      <c r="L77" s="47"/>
      <c r="M77" s="79"/>
      <c r="N77" s="47"/>
      <c r="O77" s="50"/>
      <c r="P77" s="51"/>
      <c r="Q77" s="51"/>
      <c r="R77" s="140"/>
      <c r="S77" s="140"/>
      <c r="T77" s="140"/>
      <c r="U77" s="140"/>
    </row>
    <row r="78" customFormat="false" ht="15.75" hidden="false" customHeight="false" outlineLevel="0" collapsed="false">
      <c r="A78" s="80"/>
      <c r="B78" s="81"/>
      <c r="C78" s="82"/>
      <c r="D78" s="83"/>
      <c r="E78" s="133"/>
      <c r="F78" s="139"/>
      <c r="G78" s="86"/>
      <c r="H78" s="288"/>
      <c r="I78" s="86"/>
      <c r="J78" s="88"/>
      <c r="K78" s="89"/>
      <c r="L78" s="86"/>
      <c r="M78" s="122"/>
      <c r="N78" s="86"/>
      <c r="O78" s="91"/>
      <c r="P78" s="127"/>
      <c r="Q78" s="127"/>
      <c r="R78" s="94"/>
      <c r="S78" s="94"/>
      <c r="T78" s="94"/>
      <c r="U78" s="94"/>
    </row>
    <row r="79" customFormat="false" ht="15.75" hidden="false" customHeight="false" outlineLevel="0" collapsed="false">
      <c r="A79" s="95"/>
      <c r="B79" s="25"/>
      <c r="C79" s="26"/>
      <c r="D79" s="27"/>
      <c r="E79" s="130"/>
      <c r="F79" s="175"/>
      <c r="G79" s="32"/>
      <c r="H79" s="31"/>
      <c r="I79" s="32"/>
      <c r="J79" s="33"/>
      <c r="K79" s="176"/>
      <c r="L79" s="32"/>
      <c r="M79" s="98"/>
      <c r="N79" s="32"/>
      <c r="O79" s="35"/>
      <c r="P79" s="36"/>
      <c r="Q79" s="36"/>
      <c r="R79" s="71"/>
      <c r="S79" s="71"/>
      <c r="T79" s="71"/>
      <c r="U79" s="71"/>
      <c r="V79" s="38"/>
    </row>
    <row r="80" customFormat="false" ht="15.75" hidden="false" customHeight="false" outlineLevel="0" collapsed="false">
      <c r="A80" s="285"/>
      <c r="B80" s="100"/>
      <c r="C80" s="101"/>
      <c r="D80" s="102"/>
      <c r="E80" s="130"/>
      <c r="F80" s="175"/>
      <c r="G80" s="107"/>
      <c r="H80" s="290"/>
      <c r="I80" s="107"/>
      <c r="J80" s="108"/>
      <c r="K80" s="278"/>
      <c r="L80" s="107"/>
      <c r="M80" s="291"/>
      <c r="N80" s="107"/>
      <c r="O80" s="110"/>
      <c r="P80" s="111"/>
      <c r="Q80" s="111"/>
      <c r="R80" s="239"/>
      <c r="S80" s="239"/>
      <c r="T80" s="239"/>
      <c r="U80" s="239"/>
      <c r="V80" s="38"/>
    </row>
    <row r="81" customFormat="false" ht="15.75" hidden="false" customHeight="false" outlineLevel="0" collapsed="false">
      <c r="A81" s="285"/>
      <c r="B81" s="100"/>
      <c r="C81" s="101"/>
      <c r="D81" s="102"/>
      <c r="E81" s="130"/>
      <c r="F81" s="175"/>
      <c r="G81" s="107"/>
      <c r="H81" s="106"/>
      <c r="I81" s="107"/>
      <c r="J81" s="108"/>
      <c r="K81" s="278"/>
      <c r="L81" s="107"/>
      <c r="M81" s="291"/>
      <c r="N81" s="107"/>
      <c r="O81" s="110"/>
      <c r="P81" s="111"/>
      <c r="Q81" s="111"/>
      <c r="R81" s="239"/>
      <c r="S81" s="239"/>
      <c r="T81" s="239"/>
      <c r="U81" s="239"/>
      <c r="V81" s="38"/>
    </row>
    <row r="82" customFormat="false" ht="15.75" hidden="false" customHeight="false" outlineLevel="0" collapsed="false">
      <c r="A82" s="54"/>
      <c r="B82" s="55"/>
      <c r="C82" s="56"/>
      <c r="D82" s="57"/>
      <c r="E82" s="133"/>
      <c r="F82" s="139"/>
      <c r="G82" s="62"/>
      <c r="H82" s="61"/>
      <c r="I82" s="62"/>
      <c r="J82" s="63"/>
      <c r="K82" s="114"/>
      <c r="L82" s="62"/>
      <c r="M82" s="293"/>
      <c r="N82" s="62"/>
      <c r="O82" s="65"/>
      <c r="P82" s="66"/>
      <c r="Q82" s="66"/>
      <c r="R82" s="140"/>
      <c r="S82" s="140"/>
      <c r="T82" s="140"/>
      <c r="U82" s="140"/>
    </row>
    <row r="83" customFormat="false" ht="15.75" hidden="true" customHeight="false" outlineLevel="0" collapsed="false">
      <c r="A83" s="294"/>
      <c r="B83" s="295"/>
      <c r="C83" s="296"/>
      <c r="D83" s="297"/>
      <c r="E83" s="133"/>
      <c r="F83" s="139"/>
      <c r="G83" s="69"/>
      <c r="H83" s="298"/>
      <c r="I83" s="69"/>
      <c r="J83" s="299"/>
      <c r="K83" s="69"/>
      <c r="L83" s="69"/>
      <c r="M83" s="69"/>
      <c r="N83" s="69"/>
      <c r="O83" s="242"/>
      <c r="P83" s="300"/>
      <c r="Q83" s="300"/>
      <c r="R83" s="301"/>
      <c r="S83" s="301"/>
      <c r="T83" s="301"/>
      <c r="U83" s="301"/>
    </row>
    <row r="84" customFormat="false" ht="15.75" hidden="true" customHeight="false" outlineLevel="0" collapsed="false">
      <c r="A84" s="294"/>
      <c r="B84" s="295"/>
      <c r="C84" s="296"/>
      <c r="D84" s="297"/>
      <c r="E84" s="133"/>
      <c r="F84" s="139"/>
      <c r="G84" s="69"/>
      <c r="H84" s="298"/>
      <c r="I84" s="69"/>
      <c r="J84" s="299"/>
      <c r="K84" s="69"/>
      <c r="L84" s="69"/>
      <c r="M84" s="69"/>
      <c r="N84" s="69"/>
      <c r="O84" s="242"/>
      <c r="P84" s="300"/>
      <c r="Q84" s="300"/>
      <c r="R84" s="301"/>
      <c r="S84" s="301"/>
      <c r="T84" s="301"/>
      <c r="U84" s="301"/>
    </row>
    <row r="85" customFormat="false" ht="15.75" hidden="true" customHeight="false" outlineLevel="0" collapsed="false">
      <c r="A85" s="294"/>
      <c r="B85" s="295"/>
      <c r="C85" s="296"/>
      <c r="D85" s="297"/>
      <c r="E85" s="133"/>
      <c r="F85" s="139"/>
      <c r="G85" s="69"/>
      <c r="H85" s="298"/>
      <c r="I85" s="69"/>
      <c r="J85" s="299"/>
      <c r="K85" s="69"/>
      <c r="L85" s="69"/>
      <c r="M85" s="69"/>
      <c r="N85" s="69"/>
      <c r="O85" s="242"/>
      <c r="P85" s="300"/>
      <c r="Q85" s="300"/>
      <c r="R85" s="301"/>
      <c r="S85" s="301"/>
      <c r="T85" s="301"/>
      <c r="U85" s="301"/>
    </row>
    <row r="86" customFormat="false" ht="15.75" hidden="true" customHeight="false" outlineLevel="0" collapsed="false">
      <c r="A86" s="294"/>
      <c r="B86" s="295"/>
      <c r="C86" s="296"/>
      <c r="D86" s="297"/>
      <c r="E86" s="133"/>
      <c r="F86" s="139"/>
      <c r="G86" s="69"/>
      <c r="H86" s="298"/>
      <c r="I86" s="69"/>
      <c r="J86" s="299"/>
      <c r="K86" s="69"/>
      <c r="L86" s="69"/>
      <c r="M86" s="69"/>
      <c r="N86" s="69"/>
      <c r="O86" s="242"/>
      <c r="P86" s="300"/>
      <c r="Q86" s="300"/>
      <c r="R86" s="301"/>
      <c r="S86" s="301"/>
      <c r="T86" s="301"/>
      <c r="U86" s="301"/>
    </row>
    <row r="87" customFormat="false" ht="15.75" hidden="true" customHeight="false" outlineLevel="0" collapsed="false">
      <c r="A87" s="294"/>
      <c r="B87" s="295"/>
      <c r="C87" s="296"/>
      <c r="D87" s="297"/>
      <c r="E87" s="133"/>
      <c r="F87" s="134"/>
      <c r="G87" s="69"/>
      <c r="H87" s="298"/>
      <c r="I87" s="69"/>
      <c r="J87" s="299"/>
      <c r="K87" s="69"/>
      <c r="L87" s="69"/>
      <c r="M87" s="69"/>
      <c r="N87" s="69"/>
      <c r="O87" s="242"/>
      <c r="P87" s="300"/>
      <c r="Q87" s="300"/>
      <c r="R87" s="301"/>
      <c r="S87" s="301"/>
      <c r="T87" s="301"/>
      <c r="U87" s="301"/>
    </row>
    <row r="88" customFormat="false" ht="15.75" hidden="true" customHeight="false" outlineLevel="0" collapsed="false">
      <c r="A88" s="294"/>
      <c r="B88" s="295"/>
      <c r="C88" s="296"/>
      <c r="D88" s="297"/>
      <c r="E88" s="133"/>
      <c r="F88" s="139"/>
      <c r="G88" s="69"/>
      <c r="H88" s="298"/>
      <c r="I88" s="69"/>
      <c r="J88" s="299"/>
      <c r="K88" s="69"/>
      <c r="L88" s="69"/>
      <c r="M88" s="69"/>
      <c r="N88" s="69"/>
      <c r="O88" s="242"/>
      <c r="P88" s="300"/>
      <c r="Q88" s="300"/>
      <c r="R88" s="301"/>
      <c r="S88" s="301"/>
      <c r="T88" s="301"/>
      <c r="U88" s="301"/>
    </row>
    <row r="89" customFormat="false" ht="15.75" hidden="true" customHeight="false" outlineLevel="0" collapsed="false">
      <c r="A89" s="294"/>
      <c r="B89" s="295"/>
      <c r="C89" s="296"/>
      <c r="D89" s="297"/>
      <c r="E89" s="133"/>
      <c r="F89" s="139"/>
      <c r="G89" s="69"/>
      <c r="H89" s="298"/>
      <c r="I89" s="69"/>
      <c r="J89" s="299"/>
      <c r="K89" s="69"/>
      <c r="L89" s="69"/>
      <c r="M89" s="69"/>
      <c r="N89" s="69"/>
      <c r="O89" s="242"/>
      <c r="P89" s="300"/>
      <c r="Q89" s="300"/>
      <c r="R89" s="301"/>
      <c r="S89" s="301"/>
      <c r="T89" s="301"/>
      <c r="U89" s="301"/>
    </row>
    <row r="90" customFormat="false" ht="15.75" hidden="true" customHeight="false" outlineLevel="0" collapsed="false">
      <c r="A90" s="294"/>
      <c r="B90" s="295"/>
      <c r="C90" s="296"/>
      <c r="D90" s="297"/>
      <c r="E90" s="133"/>
      <c r="F90" s="139"/>
      <c r="G90" s="69"/>
      <c r="H90" s="298"/>
      <c r="I90" s="69"/>
      <c r="J90" s="299"/>
      <c r="K90" s="69"/>
      <c r="L90" s="69"/>
      <c r="M90" s="69"/>
      <c r="N90" s="69"/>
      <c r="O90" s="242"/>
      <c r="P90" s="300"/>
      <c r="Q90" s="300"/>
      <c r="R90" s="301"/>
      <c r="S90" s="301"/>
      <c r="T90" s="301"/>
      <c r="U90" s="301"/>
    </row>
    <row r="91" customFormat="false" ht="15.75" hidden="true" customHeight="false" outlineLevel="0" collapsed="false">
      <c r="A91" s="294"/>
      <c r="B91" s="295"/>
      <c r="C91" s="296"/>
      <c r="D91" s="297"/>
      <c r="E91" s="133"/>
      <c r="F91" s="139"/>
      <c r="G91" s="69"/>
      <c r="H91" s="298"/>
      <c r="I91" s="69"/>
      <c r="J91" s="299"/>
      <c r="K91" s="69"/>
      <c r="L91" s="69"/>
      <c r="M91" s="69"/>
      <c r="N91" s="69"/>
      <c r="O91" s="242"/>
      <c r="P91" s="300"/>
      <c r="Q91" s="300"/>
      <c r="R91" s="301"/>
      <c r="S91" s="301"/>
      <c r="T91" s="301"/>
      <c r="U91" s="301"/>
    </row>
    <row r="92" customFormat="false" ht="15.75" hidden="true" customHeight="false" outlineLevel="0" collapsed="false">
      <c r="A92" s="294"/>
      <c r="B92" s="295"/>
      <c r="C92" s="296"/>
      <c r="D92" s="297"/>
      <c r="E92" s="133"/>
      <c r="F92" s="139"/>
      <c r="G92" s="69"/>
      <c r="H92" s="298"/>
      <c r="I92" s="69"/>
      <c r="J92" s="299"/>
      <c r="K92" s="69"/>
      <c r="L92" s="69"/>
      <c r="M92" s="69"/>
      <c r="N92" s="69"/>
      <c r="O92" s="242"/>
      <c r="P92" s="300"/>
      <c r="Q92" s="300"/>
      <c r="R92" s="301"/>
      <c r="S92" s="301"/>
      <c r="T92" s="301"/>
      <c r="U92" s="301"/>
    </row>
    <row r="93" customFormat="false" ht="15.75" hidden="true" customHeight="false" outlineLevel="0" collapsed="false">
      <c r="A93" s="294"/>
      <c r="B93" s="295"/>
      <c r="C93" s="296"/>
      <c r="D93" s="297"/>
      <c r="E93" s="133"/>
      <c r="F93" s="134"/>
      <c r="G93" s="69"/>
      <c r="H93" s="298"/>
      <c r="I93" s="69"/>
      <c r="J93" s="299"/>
      <c r="K93" s="69"/>
      <c r="L93" s="69"/>
      <c r="M93" s="69"/>
      <c r="N93" s="69"/>
      <c r="O93" s="242"/>
      <c r="P93" s="300"/>
      <c r="Q93" s="300"/>
      <c r="R93" s="301"/>
      <c r="S93" s="301"/>
      <c r="T93" s="301"/>
      <c r="U93" s="301"/>
    </row>
    <row r="94" customFormat="false" ht="15.75" hidden="true" customHeight="false" outlineLevel="0" collapsed="false">
      <c r="A94" s="294"/>
      <c r="B94" s="295"/>
      <c r="C94" s="296"/>
      <c r="D94" s="297"/>
      <c r="E94" s="133"/>
      <c r="F94" s="139"/>
      <c r="G94" s="69"/>
      <c r="H94" s="298"/>
      <c r="I94" s="69"/>
      <c r="J94" s="299"/>
      <c r="K94" s="69"/>
      <c r="L94" s="69"/>
      <c r="M94" s="69"/>
      <c r="N94" s="69"/>
      <c r="O94" s="242"/>
      <c r="P94" s="300"/>
      <c r="Q94" s="300"/>
      <c r="R94" s="301"/>
      <c r="S94" s="301"/>
      <c r="T94" s="301"/>
      <c r="U94" s="301"/>
    </row>
    <row r="95" customFormat="false" ht="15.75" hidden="true" customHeight="false" outlineLevel="0" collapsed="false">
      <c r="A95" s="294"/>
      <c r="B95" s="295"/>
      <c r="C95" s="296"/>
      <c r="D95" s="297"/>
      <c r="E95" s="196"/>
      <c r="F95" s="197"/>
      <c r="G95" s="69"/>
      <c r="H95" s="298"/>
      <c r="I95" s="69"/>
      <c r="J95" s="299"/>
      <c r="K95" s="69"/>
      <c r="L95" s="69"/>
      <c r="M95" s="69"/>
      <c r="N95" s="69"/>
      <c r="O95" s="242"/>
      <c r="P95" s="300"/>
      <c r="Q95" s="300"/>
      <c r="R95" s="301"/>
      <c r="S95" s="301"/>
      <c r="T95" s="301"/>
      <c r="U95" s="301"/>
    </row>
    <row r="96" customFormat="false" ht="15.75" hidden="true" customHeight="false" outlineLevel="0" collapsed="false">
      <c r="A96" s="294"/>
      <c r="B96" s="295"/>
      <c r="C96" s="296"/>
      <c r="D96" s="297"/>
      <c r="E96" s="302"/>
      <c r="F96" s="302"/>
      <c r="G96" s="69"/>
      <c r="H96" s="298"/>
      <c r="I96" s="69"/>
      <c r="J96" s="299"/>
      <c r="K96" s="69"/>
      <c r="L96" s="69"/>
      <c r="M96" s="69"/>
      <c r="N96" s="69"/>
      <c r="O96" s="242"/>
      <c r="P96" s="300"/>
      <c r="Q96" s="300"/>
      <c r="R96" s="301"/>
      <c r="S96" s="301"/>
      <c r="T96" s="301"/>
      <c r="U96" s="301"/>
    </row>
    <row r="97" customFormat="false" ht="15.75" hidden="true" customHeight="false" outlineLevel="0" collapsed="false">
      <c r="A97" s="294"/>
      <c r="B97" s="295"/>
      <c r="C97" s="296"/>
      <c r="D97" s="297"/>
      <c r="E97" s="302"/>
      <c r="F97" s="302"/>
      <c r="G97" s="69"/>
      <c r="H97" s="298"/>
      <c r="I97" s="69"/>
      <c r="J97" s="299"/>
      <c r="K97" s="69"/>
      <c r="L97" s="69"/>
      <c r="M97" s="69"/>
      <c r="N97" s="69"/>
      <c r="O97" s="242"/>
      <c r="P97" s="300"/>
      <c r="Q97" s="300"/>
      <c r="R97" s="301"/>
      <c r="S97" s="301"/>
      <c r="T97" s="301"/>
      <c r="U97" s="301"/>
    </row>
    <row r="98" customFormat="false" ht="15.75" hidden="true" customHeight="false" outlineLevel="0" collapsed="false">
      <c r="A98" s="294"/>
      <c r="B98" s="295"/>
      <c r="C98" s="296"/>
      <c r="D98" s="297"/>
      <c r="E98" s="302"/>
      <c r="F98" s="302"/>
      <c r="G98" s="69"/>
      <c r="H98" s="298"/>
      <c r="I98" s="69"/>
      <c r="J98" s="299"/>
      <c r="K98" s="69"/>
      <c r="L98" s="69"/>
      <c r="M98" s="69"/>
      <c r="N98" s="69"/>
      <c r="O98" s="242"/>
      <c r="P98" s="300"/>
      <c r="Q98" s="300"/>
      <c r="R98" s="301"/>
      <c r="S98" s="301"/>
      <c r="T98" s="301"/>
      <c r="U98" s="301"/>
    </row>
    <row r="99" customFormat="false" ht="15.75" hidden="true" customHeight="false" outlineLevel="0" collapsed="false">
      <c r="A99" s="294"/>
      <c r="B99" s="295"/>
      <c r="C99" s="296"/>
      <c r="D99" s="297"/>
      <c r="E99" s="302"/>
      <c r="F99" s="302"/>
      <c r="G99" s="69"/>
      <c r="H99" s="298"/>
      <c r="I99" s="69"/>
      <c r="J99" s="299"/>
      <c r="K99" s="69"/>
      <c r="L99" s="69"/>
      <c r="M99" s="69"/>
      <c r="N99" s="69"/>
      <c r="O99" s="242"/>
      <c r="P99" s="300"/>
      <c r="Q99" s="300"/>
      <c r="R99" s="301"/>
      <c r="S99" s="301"/>
      <c r="T99" s="301"/>
      <c r="U99" s="301"/>
    </row>
    <row r="100" customFormat="false" ht="15.75" hidden="true" customHeight="false" outlineLevel="0" collapsed="false">
      <c r="A100" s="294"/>
      <c r="B100" s="295"/>
      <c r="C100" s="296"/>
      <c r="D100" s="297"/>
      <c r="E100" s="302"/>
      <c r="F100" s="302"/>
      <c r="G100" s="69"/>
      <c r="H100" s="298"/>
      <c r="I100" s="69"/>
      <c r="J100" s="299"/>
      <c r="K100" s="69"/>
      <c r="L100" s="69"/>
      <c r="M100" s="69"/>
      <c r="N100" s="69"/>
      <c r="O100" s="242"/>
      <c r="P100" s="300"/>
      <c r="Q100" s="300"/>
      <c r="R100" s="301"/>
      <c r="S100" s="301"/>
      <c r="T100" s="301"/>
      <c r="U100" s="301"/>
    </row>
    <row r="101" customFormat="false" ht="15.75" hidden="true" customHeight="false" outlineLevel="0" collapsed="false">
      <c r="A101" s="294"/>
      <c r="B101" s="295"/>
      <c r="C101" s="296"/>
      <c r="D101" s="297"/>
      <c r="E101" s="302"/>
      <c r="F101" s="302"/>
      <c r="G101" s="69"/>
      <c r="H101" s="298"/>
      <c r="I101" s="69"/>
      <c r="J101" s="299"/>
      <c r="K101" s="69"/>
      <c r="L101" s="69"/>
      <c r="M101" s="69"/>
      <c r="N101" s="69"/>
      <c r="O101" s="242"/>
      <c r="P101" s="300"/>
      <c r="Q101" s="300"/>
      <c r="R101" s="301"/>
      <c r="S101" s="301"/>
      <c r="T101" s="301"/>
      <c r="U101" s="301"/>
    </row>
    <row r="102" customFormat="false" ht="15.75" hidden="false" customHeight="false" outlineLevel="0" collapsed="false">
      <c r="A102" s="294"/>
      <c r="B102" s="295"/>
      <c r="C102" s="296"/>
      <c r="D102" s="297"/>
      <c r="E102" s="302"/>
      <c r="F102" s="302"/>
      <c r="G102" s="69"/>
      <c r="H102" s="298"/>
      <c r="I102" s="69"/>
      <c r="J102" s="299"/>
      <c r="K102" s="69"/>
      <c r="L102" s="69"/>
      <c r="M102" s="69"/>
      <c r="N102" s="69"/>
      <c r="O102" s="242"/>
      <c r="P102" s="300"/>
      <c r="Q102" s="300"/>
      <c r="R102" s="301"/>
      <c r="S102" s="301"/>
      <c r="T102" s="301"/>
      <c r="U102" s="301"/>
    </row>
    <row r="103" customFormat="false" ht="15.75" hidden="false" customHeight="false" outlineLevel="0" collapsed="false">
      <c r="A103" s="303" t="s">
        <v>296</v>
      </c>
      <c r="B103" s="304"/>
      <c r="C103" s="303"/>
      <c r="D103" s="303"/>
      <c r="E103" s="305"/>
      <c r="F103" s="306"/>
      <c r="G103" s="303"/>
      <c r="H103" s="307"/>
      <c r="I103" s="303"/>
      <c r="J103" s="303"/>
      <c r="K103" s="303"/>
      <c r="L103" s="303"/>
      <c r="M103" s="303"/>
      <c r="N103" s="303"/>
      <c r="O103" s="303"/>
      <c r="P103" s="303"/>
      <c r="Q103" s="303"/>
      <c r="R103" s="308"/>
      <c r="S103" s="308"/>
      <c r="T103" s="308"/>
      <c r="U103" s="308"/>
    </row>
    <row r="104" customFormat="false" ht="15.75" hidden="false" customHeight="false" outlineLevel="0" collapsed="false">
      <c r="A104" s="69" t="s">
        <v>181</v>
      </c>
      <c r="B104" s="309" t="n">
        <f aca="false">COUNT(C2:C101)</f>
        <v>2</v>
      </c>
      <c r="D104" s="69"/>
      <c r="E104" s="302"/>
      <c r="F104" s="310"/>
      <c r="G104" s="69"/>
      <c r="H104" s="298"/>
      <c r="I104" s="69"/>
      <c r="J104" s="69"/>
      <c r="K104" s="69"/>
      <c r="L104" s="69"/>
      <c r="M104" s="69"/>
      <c r="N104" s="69"/>
      <c r="O104" s="69"/>
      <c r="P104" s="69"/>
      <c r="Q104" s="69"/>
      <c r="R104" s="301"/>
      <c r="S104" s="301"/>
      <c r="T104" s="301"/>
    </row>
    <row r="105" customFormat="false" ht="15.75" hidden="false" customHeight="false" outlineLevel="0" collapsed="false">
      <c r="A105" s="311" t="s">
        <v>297</v>
      </c>
      <c r="E105" s="302"/>
      <c r="F105" s="310"/>
      <c r="H105" s="298"/>
    </row>
    <row r="106" customFormat="false" ht="15.75" hidden="false" customHeight="false" outlineLevel="0" collapsed="false">
      <c r="A106" s="294"/>
      <c r="B106" s="69"/>
      <c r="C106" s="69"/>
      <c r="D106" s="69"/>
      <c r="E106" s="302"/>
      <c r="F106" s="310"/>
      <c r="G106" s="69"/>
      <c r="H106" s="298"/>
      <c r="I106" s="69"/>
      <c r="J106" s="69"/>
      <c r="K106" s="69"/>
      <c r="L106" s="69"/>
      <c r="M106" s="69"/>
      <c r="N106" s="69"/>
      <c r="O106" s="69"/>
      <c r="P106" s="69"/>
      <c r="Q106" s="69"/>
      <c r="R106" s="301"/>
      <c r="S106" s="301"/>
      <c r="T106" s="301"/>
      <c r="U106" s="301"/>
    </row>
    <row r="107" customFormat="false" ht="15.75" hidden="false" customHeight="false" outlineLevel="0" collapsed="false">
      <c r="A107" s="312" t="str">
        <f aca="false">HYPERLINK("https://phillipreeve.net/blog/sony-fe-lenses/fe-list/","If you have a question or want to report any mistake please leave a comment on the blog.")</f>
        <v>If you have a question or want to report any mistake please leave a comment on the blog.</v>
      </c>
      <c r="B107" s="313"/>
      <c r="C107" s="313"/>
      <c r="D107" s="313"/>
      <c r="E107" s="314"/>
      <c r="F107" s="315"/>
      <c r="G107" s="313"/>
      <c r="H107" s="316"/>
      <c r="I107" s="313"/>
    </row>
    <row r="108" customFormat="false" ht="15.75" hidden="false" customHeight="false" outlineLevel="0" collapsed="false">
      <c r="E108" s="302"/>
      <c r="F108" s="310"/>
    </row>
    <row r="109" customFormat="false" ht="15.75" hidden="false" customHeight="false" outlineLevel="0" collapsed="false">
      <c r="A109" s="294" t="s">
        <v>183</v>
      </c>
      <c r="E109" s="302"/>
      <c r="F109" s="310"/>
      <c r="H109" s="298"/>
    </row>
    <row r="110" customFormat="false" ht="15.75" hidden="false" customHeight="false" outlineLevel="0" collapsed="false">
      <c r="A110" s="317" t="str">
        <f aca="false">HYPERLINK("https://phillipreeve.net/blog/fe-lenses-sony-comprehensive-independent-guide/","Our Guide to FE-mount lenses - If you need any help on finding the right lens.")</f>
        <v>Our Guide to FE-mount lenses - If you need any help on finding the right lens.</v>
      </c>
      <c r="E110" s="302"/>
      <c r="F110" s="310"/>
      <c r="H110" s="298"/>
    </row>
    <row r="111" customFormat="false" ht="15.75" hidden="false" customHeight="false" outlineLevel="0" collapsed="false">
      <c r="A111" s="317" t="str">
        <f aca="false">HYPERLINK("https://phillipreeve.net/blog/9-golden-rules-to-buy-the-wrong-lens/","10 golden rules to buy the wrong lens.")</f>
        <v>10 golden rules to buy the wrong lens.</v>
      </c>
      <c r="E111" s="302"/>
      <c r="F111" s="310"/>
      <c r="H111" s="298"/>
    </row>
    <row r="112" customFormat="false" ht="15.75" hidden="false" customHeight="false" outlineLevel="0" collapsed="false">
      <c r="A112" s="317" t="str">
        <f aca="false">HYPERLINK("https://phillipreeve.net/blog/user-guide-ultra-wideangle-lenses-sony-alpha-7-series/","Our Guide to Ultra-Wideangle lenses")</f>
        <v>Our Guide to Ultra-Wideangle lenses</v>
      </c>
      <c r="E112" s="302"/>
      <c r="F112" s="310"/>
      <c r="H112" s="298"/>
    </row>
    <row r="113" customFormat="false" ht="15.75" hidden="false" customHeight="false" outlineLevel="0" collapsed="false">
      <c r="A113" s="317" t="str">
        <f aca="false">HYPERLINK("https://phillipreeve.net/blog/wideangle-lenses-for-the-sony-alpha-7-series/","Our Guide to Wideangle lenses")</f>
        <v>Our Guide to Wideangle lenses</v>
      </c>
      <c r="E113" s="302"/>
      <c r="F113" s="310"/>
      <c r="H113" s="298"/>
    </row>
    <row r="114" customFormat="false" ht="15.75" hidden="false" customHeight="false" outlineLevel="0" collapsed="false">
      <c r="A114" s="317" t="str">
        <f aca="false">HYPERLINK("https://phillipreeve.net/blog/guide-to-macro-lenses-for-the-sony-a7-series/","Our Guide to Macro lenses")</f>
        <v>Our Guide to Macro lenses</v>
      </c>
      <c r="E114" s="302"/>
      <c r="F114" s="310"/>
      <c r="H114" s="298"/>
    </row>
    <row r="115" customFormat="false" ht="15.75" hidden="false" customHeight="false" outlineLevel="0" collapsed="false">
      <c r="A115" s="317" t="str">
        <f aca="false">HYPERLINK("https://phillipreeve.net/blog/user-guide-to-portrait-lenses-sony-a7-series/","Our Guide to Portrait lenses")</f>
        <v>Our Guide to Portrait lenses</v>
      </c>
      <c r="E115" s="302"/>
      <c r="F115" s="310"/>
      <c r="H115" s="298"/>
    </row>
    <row r="116" customFormat="false" ht="15.75" hidden="false" customHeight="false" outlineLevel="0" collapsed="false">
      <c r="A116" s="317" t="str">
        <f aca="false">HYPERLINK("https://phillipreeve.net/blog/building-a-lens-kit/","Building a lens kit")</f>
        <v>Building a lens kit</v>
      </c>
      <c r="E116" s="302"/>
      <c r="F116" s="310"/>
      <c r="H116" s="298"/>
    </row>
    <row r="117" customFormat="false" ht="15.75" hidden="false" customHeight="false" outlineLevel="0" collapsed="false">
      <c r="A117" s="69"/>
    </row>
    <row r="118" customFormat="false" ht="15.75" hidden="false" customHeight="false" outlineLevel="0" collapsed="false">
      <c r="A118" s="294" t="s">
        <v>186</v>
      </c>
    </row>
    <row r="119" customFormat="false" ht="15.75" hidden="false" customHeight="false" outlineLevel="0" collapsed="false">
      <c r="A119" s="69" t="s">
        <v>187</v>
      </c>
    </row>
    <row r="120" customFormat="false" ht="15.75" hidden="false" customHeight="false" outlineLevel="0" collapsed="false">
      <c r="A120" s="69" t="s">
        <v>188</v>
      </c>
    </row>
    <row r="121" customFormat="false" ht="15.75" hidden="false" customHeight="false" outlineLevel="0" collapsed="false">
      <c r="A121" s="69" t="s">
        <v>189</v>
      </c>
    </row>
    <row r="122" customFormat="false" ht="15.75" hidden="false" customHeight="false" outlineLevel="0" collapsed="false">
      <c r="A122" s="69" t="s">
        <v>190</v>
      </c>
    </row>
    <row r="123" customFormat="false" ht="15.75" hidden="false" customHeight="false" outlineLevel="0" collapsed="false">
      <c r="A123" s="294"/>
    </row>
    <row r="124" customFormat="false" ht="15.75" hidden="false" customHeight="false" outlineLevel="0" collapsed="false">
      <c r="A124" s="294" t="s">
        <v>191</v>
      </c>
    </row>
    <row r="125" customFormat="false" ht="15.75" hidden="false" customHeight="false" outlineLevel="0" collapsed="false">
      <c r="A125" s="69" t="s">
        <v>271</v>
      </c>
      <c r="D125" s="294"/>
    </row>
    <row r="126" customFormat="false" ht="15.75" hidden="false" customHeight="false" outlineLevel="0" collapsed="false">
      <c r="A126" s="69" t="s">
        <v>192</v>
      </c>
      <c r="D126" s="294"/>
    </row>
    <row r="127" customFormat="false" ht="15.75" hidden="false" customHeight="false" outlineLevel="0" collapsed="false"/>
    <row r="128" customFormat="false" ht="15.75" hidden="false" customHeight="false" outlineLevel="0" collapsed="false">
      <c r="A128" s="317" t="str">
        <f aca="false">HYPERLINK("https://phillipreeve.net/blog/impressum/","Impressum")</f>
        <v>Impressum</v>
      </c>
    </row>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c r="A134" s="294"/>
    </row>
    <row r="135" customFormat="false" ht="15.75" hidden="false" customHeight="false" outlineLevel="0" collapsed="false">
      <c r="A135" s="294"/>
    </row>
    <row r="136" customFormat="false" ht="15.75" hidden="false" customHeight="false" outlineLevel="0" collapsed="false">
      <c r="A136" s="294"/>
    </row>
    <row r="137" customFormat="false" ht="15.75" hidden="false" customHeight="false" outlineLevel="0" collapsed="false">
      <c r="A137" s="294"/>
    </row>
    <row r="138" customFormat="false" ht="15.75" hidden="false" customHeight="false" outlineLevel="0" collapsed="false">
      <c r="A138" s="294"/>
    </row>
    <row r="139" customFormat="false" ht="15.75" hidden="false" customHeight="false" outlineLevel="0" collapsed="false">
      <c r="A139" s="294"/>
    </row>
    <row r="140" customFormat="false" ht="15.75" hidden="false" customHeight="false" outlineLevel="0" collapsed="false">
      <c r="A140" s="294"/>
    </row>
    <row r="141" customFormat="false" ht="15.75" hidden="false" customHeight="false" outlineLevel="0" collapsed="false">
      <c r="A141" s="294"/>
    </row>
    <row r="142" customFormat="false" ht="15.75" hidden="false" customHeight="false" outlineLevel="0" collapsed="false">
      <c r="A142" s="294"/>
    </row>
    <row r="143" customFormat="false" ht="15.75" hidden="false" customHeight="false" outlineLevel="0" collapsed="false">
      <c r="A143" s="294"/>
    </row>
    <row r="144" customFormat="false" ht="15.75" hidden="false" customHeight="false" outlineLevel="0" collapsed="false">
      <c r="A144" s="294"/>
    </row>
    <row r="145" customFormat="false" ht="15.75" hidden="false" customHeight="false" outlineLevel="0" collapsed="false">
      <c r="A145" s="294"/>
    </row>
    <row r="146" customFormat="false" ht="15.75" hidden="false" customHeight="false" outlineLevel="0" collapsed="false">
      <c r="A146" s="294"/>
    </row>
    <row r="147" customFormat="false" ht="15.75" hidden="false" customHeight="false" outlineLevel="0" collapsed="false">
      <c r="A147" s="294"/>
    </row>
    <row r="148" customFormat="false" ht="15.75" hidden="false" customHeight="false" outlineLevel="0" collapsed="false">
      <c r="A148" s="294"/>
    </row>
    <row r="149" customFormat="false" ht="15.75" hidden="false" customHeight="false" outlineLevel="0" collapsed="false">
      <c r="A149" s="294"/>
    </row>
    <row r="150" customFormat="false" ht="15.75" hidden="false" customHeight="false" outlineLevel="0" collapsed="false">
      <c r="A150" s="294"/>
    </row>
    <row r="151" customFormat="false" ht="15.75" hidden="false" customHeight="false" outlineLevel="0" collapsed="false">
      <c r="A151" s="294"/>
    </row>
    <row r="152" customFormat="false" ht="15.75" hidden="false" customHeight="false" outlineLevel="0" collapsed="false">
      <c r="A152" s="294"/>
    </row>
    <row r="153" customFormat="false" ht="15.75" hidden="false" customHeight="false" outlineLevel="0" collapsed="false">
      <c r="A153" s="294"/>
    </row>
    <row r="154" customFormat="false" ht="15.75" hidden="false" customHeight="false" outlineLevel="0" collapsed="false">
      <c r="A154" s="294"/>
    </row>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row r="971" customFormat="false" ht="15.75" hidden="false" customHeight="false" outlineLevel="0" collapsed="false"/>
    <row r="972" customFormat="false" ht="15.75" hidden="false" customHeight="false" outlineLevel="0" collapsed="false"/>
    <row r="973" customFormat="false" ht="15.75" hidden="false" customHeight="false" outlineLevel="0" collapsed="false"/>
    <row r="974" customFormat="false" ht="15.75" hidden="false" customHeight="false" outlineLevel="0" collapsed="false"/>
    <row r="975" customFormat="false" ht="15.75" hidden="false" customHeight="false" outlineLevel="0" collapsed="false"/>
    <row r="976" customFormat="false" ht="15.75" hidden="false" customHeight="false" outlineLevel="0" collapsed="false"/>
    <row r="977" customFormat="false" ht="15.75" hidden="false" customHeight="false" outlineLevel="0" collapsed="false"/>
    <row r="978" customFormat="false" ht="15.75" hidden="false" customHeight="false" outlineLevel="0" collapsed="false"/>
    <row r="979" customFormat="false" ht="15.75" hidden="false" customHeight="false" outlineLevel="0" collapsed="false"/>
    <row r="980" customFormat="false" ht="15.75" hidden="false" customHeight="false" outlineLevel="0" collapsed="false"/>
    <row r="981" customFormat="false" ht="15.75" hidden="false" customHeight="false" outlineLevel="0" collapsed="false"/>
    <row r="982" customFormat="false" ht="15.75" hidden="false" customHeight="false" outlineLevel="0" collapsed="false"/>
    <row r="983" customFormat="false" ht="15.75" hidden="false" customHeight="false" outlineLevel="0" collapsed="false"/>
    <row r="984" customFormat="false" ht="15.75" hidden="false" customHeight="false" outlineLevel="0" collapsed="false"/>
    <row r="985" customFormat="false" ht="15.75" hidden="false" customHeight="false" outlineLevel="0" collapsed="false"/>
    <row r="986" customFormat="false" ht="15.75" hidden="false" customHeight="false" outlineLevel="0" collapsed="false"/>
    <row r="987" customFormat="false" ht="15.75" hidden="false" customHeight="false" outlineLevel="0" collapsed="false"/>
    <row r="988" customFormat="false" ht="15.75" hidden="false" customHeight="false" outlineLevel="0" collapsed="false"/>
    <row r="989" customFormat="false" ht="15.75" hidden="false" customHeight="false" outlineLevel="0" collapsed="false"/>
    <row r="990" customFormat="false" ht="15.75" hidden="false" customHeight="false" outlineLevel="0" collapsed="false"/>
    <row r="991" customFormat="false" ht="15.75" hidden="false" customHeight="false" outlineLevel="0" collapsed="false"/>
    <row r="992" customFormat="false" ht="15.75" hidden="false" customHeight="false" outlineLevel="0" collapsed="false"/>
    <row r="993" customFormat="false" ht="15.75" hidden="false" customHeight="false" outlineLevel="0" collapsed="false"/>
    <row r="994" customFormat="false" ht="15.75" hidden="false" customHeight="false" outlineLevel="0" collapsed="false"/>
    <row r="995" customFormat="false" ht="15.75" hidden="false" customHeight="false" outlineLevel="0" collapsed="false"/>
    <row r="996" customFormat="false" ht="15.75" hidden="false" customHeight="false" outlineLevel="0" collapsed="false"/>
    <row r="997" customFormat="false" ht="15.75" hidden="false" customHeight="false" outlineLevel="0" collapsed="false"/>
    <row r="998" customFormat="false" ht="15.75" hidden="false" customHeight="false" outlineLevel="0" collapsed="false"/>
    <row r="999" customFormat="false" ht="15.75" hidden="false" customHeight="false" outlineLevel="0" collapsed="false"/>
    <row r="1000" customFormat="false" ht="15.75" hidden="false" customHeight="false" outlineLevel="0" collapsed="false"/>
    <row r="1001" customFormat="false" ht="15.75" hidden="false" customHeight="false" outlineLevel="0" collapsed="false"/>
    <row r="1002" customFormat="false" ht="15.75" hidden="false" customHeight="false" outlineLevel="0" collapsed="false"/>
    <row r="1003" customFormat="false" ht="15.75" hidden="false" customHeight="false" outlineLevel="0" collapsed="false"/>
    <row r="1004" customFormat="false" ht="15.75" hidden="false" customHeight="false" outlineLevel="0" collapsed="false"/>
    <row r="1005" customFormat="false" ht="15.75" hidden="false" customHeight="false" outlineLevel="0" collapsed="false"/>
    <row r="1006" customFormat="false" ht="15.75" hidden="false" customHeight="false" outlineLevel="0" collapsed="false"/>
    <row r="1007" customFormat="false" ht="15.75" hidden="false" customHeight="false" outlineLevel="0" collapsed="false"/>
    <row r="1008" customFormat="false" ht="15.75" hidden="false" customHeight="false" outlineLevel="0" collapsed="false"/>
    <row r="1009" customFormat="false" ht="15.75" hidden="false" customHeight="false" outlineLevel="0" collapsed="false"/>
    <row r="1010" customFormat="false" ht="15.75" hidden="false" customHeight="false" outlineLevel="0" collapsed="false"/>
    <row r="1011" customFormat="false" ht="15.75" hidden="false" customHeight="false" outlineLevel="0" collapsed="false"/>
    <row r="1012" customFormat="false" ht="15.75" hidden="false" customHeight="false" outlineLevel="0" collapsed="false"/>
    <row r="1013" customFormat="false" ht="15.75" hidden="false" customHeight="false" outlineLevel="0" collapsed="false"/>
    <row r="1014" customFormat="false" ht="15.75" hidden="false" customHeight="false" outlineLevel="0" collapsed="false"/>
    <row r="1015" customFormat="false" ht="15.75" hidden="false" customHeight="false" outlineLevel="0" collapsed="false"/>
    <row r="1016" customFormat="false" ht="15.75" hidden="false" customHeight="false" outlineLevel="0" collapsed="false"/>
    <row r="1017" customFormat="false" ht="15.75" hidden="false" customHeight="false" outlineLevel="0" collapsed="false"/>
    <row r="1018" customFormat="false" ht="15.75" hidden="false" customHeight="false" outlineLevel="0" collapsed="false"/>
    <row r="1019" customFormat="false" ht="15.75" hidden="false" customHeight="false" outlineLevel="0" collapsed="false"/>
    <row r="1020" customFormat="false" ht="15.75" hidden="false" customHeight="false" outlineLevel="0" collapsed="false"/>
    <row r="1021" customFormat="false" ht="15.75" hidden="false" customHeight="false" outlineLevel="0" collapsed="false"/>
    <row r="1022" customFormat="false" ht="15.75" hidden="false" customHeight="false" outlineLevel="0" collapsed="false"/>
    <row r="1023" customFormat="false" ht="15.75" hidden="false" customHeight="false" outlineLevel="0" collapsed="false"/>
    <row r="1024" customFormat="false" ht="15.75" hidden="false" customHeight="false" outlineLevel="0" collapsed="false"/>
    <row r="1025" customFormat="false" ht="15.75" hidden="false" customHeight="false" outlineLevel="0" collapsed="false"/>
    <row r="1026" customFormat="false" ht="15.75" hidden="false" customHeight="false" outlineLevel="0" collapsed="false"/>
    <row r="1027" customFormat="false" ht="15.75" hidden="false" customHeight="false" outlineLevel="0" collapsed="false"/>
    <row r="1028" customFormat="false" ht="15.75" hidden="false" customHeight="false" outlineLevel="0" collapsed="false"/>
    <row r="1029" customFormat="false" ht="15.75" hidden="false" customHeight="false" outlineLevel="0" collapsed="false"/>
    <row r="1030" customFormat="false" ht="15.75" hidden="false" customHeight="false" outlineLevel="0" collapsed="false"/>
    <row r="1031" customFormat="false" ht="15.75" hidden="false" customHeight="false" outlineLevel="0" collapsed="false"/>
    <row r="1032" customFormat="false" ht="15.75" hidden="false" customHeight="false" outlineLevel="0" collapsed="false"/>
    <row r="1033" customFormat="false" ht="15.75" hidden="false" customHeight="false" outlineLevel="0" collapsed="false"/>
    <row r="1034" customFormat="false" ht="15.75" hidden="false" customHeight="false" outlineLevel="0" collapsed="false"/>
    <row r="1035" customFormat="false" ht="15.75" hidden="false" customHeight="false" outlineLevel="0" collapsed="false"/>
    <row r="1036" customFormat="false" ht="15.75" hidden="false" customHeight="false" outlineLevel="0" collapsed="false"/>
    <row r="1037" customFormat="false" ht="15.75" hidden="false" customHeight="false" outlineLevel="0" collapsed="false"/>
    <row r="1038" customFormat="false" ht="15.75" hidden="false" customHeight="false" outlineLevel="0" collapsed="false"/>
    <row r="1039" customFormat="false" ht="15.75" hidden="false" customHeight="false" outlineLevel="0" collapsed="false"/>
    <row r="1040" customFormat="false" ht="15.75" hidden="false" customHeight="false" outlineLevel="0" collapsed="false"/>
    <row r="1041" customFormat="false" ht="15.75" hidden="false" customHeight="false" outlineLevel="0" collapsed="false"/>
    <row r="1042" customFormat="false" ht="15.75" hidden="false" customHeight="false" outlineLevel="0" collapsed="false"/>
    <row r="1043" customFormat="false" ht="15.75" hidden="false" customHeight="false" outlineLevel="0" collapsed="false"/>
    <row r="1044" customFormat="false" ht="15.75" hidden="false" customHeight="false" outlineLevel="0" collapsed="false"/>
    <row r="1045" customFormat="false" ht="15.75" hidden="false" customHeight="false" outlineLevel="0" collapsed="false"/>
    <row r="1046" customFormat="false" ht="15.75" hidden="false" customHeight="false" outlineLevel="0" collapsed="false"/>
    <row r="1047" customFormat="false" ht="15.75" hidden="false" customHeight="false" outlineLevel="0" collapsed="false"/>
    <row r="1048" customFormat="false" ht="15.75" hidden="false" customHeight="false" outlineLevel="0" collapsed="false"/>
    <row r="1049" customFormat="false" ht="15.75" hidden="false" customHeight="false" outlineLevel="0" collapsed="false"/>
    <row r="1050" customFormat="false" ht="15.75" hidden="false" customHeight="false" outlineLevel="0" collapsed="false"/>
    <row r="1051" customFormat="false" ht="15.75" hidden="false" customHeight="false" outlineLevel="0" collapsed="false"/>
    <row r="1052" customFormat="false" ht="15.75" hidden="false" customHeight="false" outlineLevel="0" collapsed="false"/>
    <row r="1053" customFormat="false" ht="15.75" hidden="false" customHeight="false" outlineLevel="0" collapsed="false"/>
    <row r="1054" customFormat="false" ht="15.75" hidden="false" customHeight="false" outlineLevel="0" collapsed="false"/>
    <row r="1055" customFormat="false" ht="15.75" hidden="false" customHeight="false" outlineLevel="0" collapsed="false"/>
    <row r="1056" customFormat="false" ht="15.75" hidden="false" customHeight="false" outlineLevel="0" collapsed="false"/>
    <row r="1057" customFormat="false" ht="15.75" hidden="false" customHeight="false" outlineLevel="0" collapsed="false"/>
    <row r="1058" customFormat="false" ht="15.75" hidden="false" customHeight="false" outlineLevel="0" collapsed="false"/>
    <row r="1059" customFormat="false" ht="15.75" hidden="false" customHeight="false" outlineLevel="0" collapsed="false"/>
    <row r="1060" customFormat="false" ht="15.75" hidden="false" customHeight="false" outlineLevel="0" collapsed="false"/>
    <row r="1061" customFormat="false" ht="15.75" hidden="false" customHeight="false" outlineLevel="0" collapsed="false"/>
    <row r="1062" customFormat="false" ht="15.75" hidden="false" customHeight="false" outlineLevel="0" collapsed="false"/>
    <row r="1063" customFormat="false" ht="15.75" hidden="false" customHeight="false" outlineLevel="0" collapsed="false"/>
    <row r="1064" customFormat="false" ht="15.75" hidden="false" customHeight="false" outlineLevel="0" collapsed="false"/>
  </sheetData>
  <autoFilter ref="O1:O1064"/>
  <conditionalFormatting sqref="B1 B3:B1064">
    <cfRule type="cellIs" priority="2" operator="between" aboveAverage="0" equalAverage="0" bottom="0" percent="0" rank="0" text="" dxfId="2">
      <formula>50</formula>
      <formula>200</formula>
    </cfRule>
  </conditionalFormatting>
  <conditionalFormatting sqref="B1 B3:B1064">
    <cfRule type="cellIs" priority="3" operator="between" aboveAverage="0" equalAverage="0" bottom="0" percent="0" rank="0" text="" dxfId="3">
      <formula>201</formula>
      <formula>400</formula>
    </cfRule>
  </conditionalFormatting>
  <conditionalFormatting sqref="B3:B1059">
    <cfRule type="cellIs" priority="4" operator="between" aboveAverage="0" equalAverage="0" bottom="0" percent="0" rank="0" text="" dxfId="4">
      <formula>401</formula>
      <formula>650</formula>
    </cfRule>
  </conditionalFormatting>
  <conditionalFormatting sqref="B3:B1059">
    <cfRule type="cellIs" priority="5" operator="between" aboveAverage="0" equalAverage="0" bottom="0" percent="0" rank="0" text="" dxfId="5">
      <formula>651</formula>
      <formula>900</formula>
    </cfRule>
  </conditionalFormatting>
  <conditionalFormatting sqref="B3:B1059">
    <cfRule type="cellIs" priority="6" operator="greaterThan" aboveAverage="0" equalAverage="0" bottom="0" percent="0" rank="0" text="" dxfId="6">
      <formula>900</formula>
    </cfRule>
  </conditionalFormatting>
  <conditionalFormatting sqref="K3:K1059">
    <cfRule type="containsText" priority="7" operator="containsText" aboveAverage="0" equalAverage="0" bottom="0" percent="0" rank="0" text="yes" dxfId="7">
      <formula>NOT(ISERROR(SEARCH("yes",K3)))</formula>
    </cfRule>
  </conditionalFormatting>
  <conditionalFormatting sqref="F1:F1064">
    <cfRule type="colorScale" priority="8">
      <colorScale>
        <cfvo type="min" val="0"/>
        <cfvo type="formula" val="150"/>
        <color rgb="FFEAD1DC"/>
        <color rgb="FFA64D79"/>
      </colorScale>
    </cfRule>
  </conditionalFormatting>
  <conditionalFormatting sqref="D3:D82">
    <cfRule type="colorScale" priority="9">
      <colorScale>
        <cfvo type="formula" val="1.2"/>
        <cfvo type="formula" val="4"/>
        <color rgb="FF0B5394"/>
        <color rgb="FFFFFFFF"/>
      </colorScale>
    </cfRule>
  </conditionalFormatting>
  <conditionalFormatting sqref="E3:E82">
    <cfRule type="colorScale" priority="10">
      <colorScale>
        <cfvo type="formula" val="65"/>
        <cfvo type="formula" val="100"/>
        <color rgb="FFD9D2E9"/>
        <color rgb="FF674EA7"/>
      </colorScale>
    </cfRule>
  </conditionalFormatting>
  <conditionalFormatting sqref="D3:D82">
    <cfRule type="containsText" priority="11" operator="containsText" aboveAverage="0" equalAverage="0" bottom="0" percent="0" rank="0" text="1.2" dxfId="8">
      <formula>NOT(ISERROR(SEARCH("1.2",D3)))</formula>
    </cfRule>
  </conditionalFormatting>
  <conditionalFormatting sqref="D12">
    <cfRule type="expression" priority="12" aboveAverage="0" equalAverage="0" bottom="0" percent="0" rank="0" text="" dxfId="9">
      <formula>LEN(TRIM(D12))&gt;0</formula>
    </cfRule>
  </conditionalFormatting>
  <conditionalFormatting sqref="D3:D82">
    <cfRule type="containsText" priority="13" operator="containsText" aboveAverage="0" equalAverage="0" bottom="0" percent="0" rank="0" text="1.4" dxfId="10">
      <formula>NOT(ISERROR(SEARCH("1.4",D3)))</formula>
    </cfRule>
  </conditionalFormatting>
  <conditionalFormatting sqref="D3:D101">
    <cfRule type="containsText" priority="14" operator="containsText" aboveAverage="0" equalAverage="0" bottom="0" percent="0" rank="0" text="1.8" dxfId="11">
      <formula>NOT(ISERROR(SEARCH("1.8",D3)))</formula>
    </cfRule>
  </conditionalFormatting>
  <conditionalFormatting sqref="A3:A100">
    <cfRule type="expression" priority="15" aboveAverage="0" equalAverage="0" bottom="0" percent="0" rank="0" text="" dxfId="12">
      <formula>(TODAY()-O3)&lt;0</formula>
    </cfRule>
  </conditionalFormatting>
  <conditionalFormatting sqref="A3:A100">
    <cfRule type="expression" priority="16" aboveAverage="0" equalAverage="0" bottom="0" percent="0" rank="0" text="" dxfId="9">
      <formula>(TODAY()-O3)&lt;180</formula>
    </cfRule>
  </conditionalFormatting>
  <conditionalFormatting sqref="G3:G102">
    <cfRule type="cellIs" priority="17" operator="equal" aboveAverage="0" equalAverage="0" bottom="0" percent="0" rank="0" text="" dxfId="12">
      <formula>"MF"</formula>
    </cfRule>
  </conditionalFormatting>
  <conditionalFormatting sqref="I3:I102">
    <cfRule type="cellIs" priority="18" operator="between" aboveAverage="0" equalAverage="0" bottom="0" percent="0" rank="0" text="" dxfId="13">
      <formula>0.24</formula>
      <formula>0.45</formula>
    </cfRule>
  </conditionalFormatting>
  <conditionalFormatting sqref="I3:I102">
    <cfRule type="cellIs" priority="19" operator="between" aboveAverage="0" equalAverage="0" bottom="0" percent="0" rank="0" text="" dxfId="14">
      <formula>0.45</formula>
      <formula>0.99</formula>
    </cfRule>
  </conditionalFormatting>
  <conditionalFormatting sqref="I3:I102">
    <cfRule type="cellIs" priority="20" operator="greaterThan" aboveAverage="0" equalAverage="0" bottom="0" percent="0" rank="0" text="" dxfId="15">
      <formula>0.99</formula>
    </cfRule>
  </conditionalFormatting>
  <dataValidations count="1">
    <dataValidation allowBlank="true" errorStyle="stop" operator="between" showDropDown="false" showErrorMessage="false" showInputMessage="false" sqref="N3:N82" type="list">
      <formula1>"Sony,Voigtlander,Zeiss,Sigma,Samyang,Viltrox,Tokina,Tamron"</formula1>
      <formula2>0</formula2>
    </dataValidation>
  </dataValidations>
  <hyperlinks>
    <hyperlink ref="R1" r:id="rId1" display="Amazon.com"/>
    <hyperlink ref="T1" r:id="rId2" display="Amazon.de"/>
    <hyperlink ref="U1" r:id="rId3"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9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2.6328125" defaultRowHeight="15.75" zeroHeight="false" outlineLevelRow="0" outlineLevelCol="0"/>
  <cols>
    <col collapsed="false" customWidth="true" hidden="false" outlineLevel="0" max="1" min="1" style="0" width="31.25"/>
    <col collapsed="false" customWidth="true" hidden="false" outlineLevel="0" max="2" min="2" style="0" width="5.75"/>
    <col collapsed="false" customWidth="true" hidden="false" outlineLevel="0" max="3" min="3" style="0" width="7.12"/>
    <col collapsed="false" customWidth="true" hidden="false" outlineLevel="0" max="4" min="4" style="0" width="7"/>
    <col collapsed="false" customWidth="true" hidden="false" outlineLevel="0" max="6" min="5" style="0" width="6.38"/>
    <col collapsed="false" customWidth="true" hidden="false" outlineLevel="0" max="7" min="7" style="0" width="6.25"/>
    <col collapsed="false" customWidth="true" hidden="false" outlineLevel="0" max="8" min="8" style="0" width="3.88"/>
    <col collapsed="false" customWidth="true" hidden="false" outlineLevel="0" max="9" min="9" style="0" width="6.63"/>
    <col collapsed="false" customWidth="true" hidden="false" outlineLevel="0" max="10" min="10" style="0" width="4.38"/>
    <col collapsed="false" customWidth="true" hidden="false" outlineLevel="0" max="11" min="11" style="0" width="5.38"/>
    <col collapsed="false" customWidth="true" hidden="false" outlineLevel="0" max="12" min="12" style="0" width="6.51"/>
    <col collapsed="false" customWidth="true" hidden="false" outlineLevel="0" max="13" min="13" style="0" width="6.75"/>
    <col collapsed="false" customWidth="true" hidden="false" outlineLevel="0" max="14" min="14" style="0" width="3.5"/>
  </cols>
  <sheetData>
    <row r="1" customFormat="false" ht="76.5" hidden="false" customHeight="true" outlineLevel="0" collapsed="false">
      <c r="A1" s="1" t="s">
        <v>0</v>
      </c>
      <c r="B1" s="2" t="s">
        <v>1</v>
      </c>
      <c r="C1" s="3" t="s">
        <v>2</v>
      </c>
      <c r="D1" s="4" t="s">
        <v>3</v>
      </c>
      <c r="E1" s="5" t="s">
        <v>4</v>
      </c>
      <c r="F1" s="6" t="s">
        <v>5</v>
      </c>
      <c r="G1" s="8" t="s">
        <v>7</v>
      </c>
      <c r="H1" s="3" t="s">
        <v>8</v>
      </c>
      <c r="I1" s="3" t="s">
        <v>9</v>
      </c>
      <c r="J1" s="3" t="s">
        <v>11</v>
      </c>
      <c r="K1" s="3" t="s">
        <v>12</v>
      </c>
      <c r="L1" s="13" t="s">
        <v>298</v>
      </c>
      <c r="M1" s="14" t="s">
        <v>276</v>
      </c>
      <c r="N1" s="18" t="s">
        <v>20</v>
      </c>
      <c r="O1" s="19" t="s">
        <v>21</v>
      </c>
    </row>
    <row r="2" customFormat="false" ht="18" hidden="false" customHeight="true" outlineLevel="0" collapsed="false">
      <c r="A2" s="20" t="s">
        <v>194</v>
      </c>
      <c r="B2" s="21"/>
      <c r="C2" s="21"/>
      <c r="D2" s="21"/>
      <c r="E2" s="21"/>
      <c r="F2" s="21"/>
      <c r="G2" s="22"/>
      <c r="H2" s="21"/>
      <c r="I2" s="21"/>
      <c r="J2" s="21"/>
      <c r="K2" s="21"/>
      <c r="L2" s="21"/>
      <c r="M2" s="21"/>
      <c r="N2" s="21"/>
    </row>
    <row r="3" customFormat="false" ht="15.75" hidden="false" customHeight="false" outlineLevel="0" collapsed="false">
      <c r="A3" s="525"/>
      <c r="B3" s="526"/>
      <c r="C3" s="527"/>
      <c r="D3" s="528"/>
      <c r="E3" s="529"/>
      <c r="F3" s="530"/>
      <c r="G3" s="531"/>
      <c r="H3" s="192"/>
      <c r="I3" s="532"/>
      <c r="J3" s="531"/>
      <c r="K3" s="533"/>
      <c r="L3" s="534"/>
      <c r="M3" s="535"/>
      <c r="N3" s="192"/>
    </row>
    <row r="4" customFormat="false" ht="15.75" hidden="false" customHeight="false" outlineLevel="0" collapsed="false">
      <c r="A4" s="536" t="str">
        <f aca="false">HYPERLINK("https://phillipreeve.net/blog/review-olympus-om-zuiko-28mm-12/","Olympus Zuiko MC Auto-W 1:2 f=28cm")</f>
        <v>Olympus Zuiko MC Auto-W 1:2 f=28cm</v>
      </c>
      <c r="B4" s="537" t="n">
        <v>248</v>
      </c>
      <c r="C4" s="538" t="n">
        <v>28</v>
      </c>
      <c r="D4" s="539" t="n">
        <v>2</v>
      </c>
      <c r="E4" s="540" t="n">
        <v>60</v>
      </c>
      <c r="F4" s="541" t="n">
        <v>43</v>
      </c>
      <c r="G4" s="406" t="s">
        <v>80</v>
      </c>
      <c r="H4" s="542" t="s">
        <v>299</v>
      </c>
      <c r="I4" s="543" t="s">
        <v>300</v>
      </c>
      <c r="J4" s="406" t="n">
        <v>8</v>
      </c>
      <c r="K4" s="544" t="s">
        <v>61</v>
      </c>
      <c r="L4" s="545"/>
      <c r="M4" s="546"/>
      <c r="N4" s="542"/>
    </row>
    <row r="5" customFormat="false" ht="15.75" hidden="false" customHeight="false" outlineLevel="0" collapsed="false">
      <c r="A5" s="547" t="str">
        <f aca="false">HYPERLINK("https://phillipreeve.net/blog/review-olympus-f-zuiko-auto-s-1-8-50/","Olympus F.Zuiko Auto-S 1:1.2 f=50mm")</f>
        <v>Olympus F.Zuiko Auto-S 1:1.2 f=50mm</v>
      </c>
      <c r="B5" s="526" t="n">
        <v>170</v>
      </c>
      <c r="C5" s="527" t="n">
        <v>50</v>
      </c>
      <c r="D5" s="528" t="n">
        <v>1.8</v>
      </c>
      <c r="E5" s="529" t="n">
        <v>61</v>
      </c>
      <c r="F5" s="530" t="n">
        <v>31</v>
      </c>
      <c r="G5" s="531" t="n">
        <v>49</v>
      </c>
      <c r="H5" s="192" t="s">
        <v>301</v>
      </c>
      <c r="I5" s="532" t="n">
        <v>45</v>
      </c>
      <c r="J5" s="531" t="n">
        <v>6</v>
      </c>
      <c r="K5" s="533" t="s">
        <v>302</v>
      </c>
      <c r="L5" s="534"/>
      <c r="M5" s="535"/>
      <c r="N5" s="192"/>
    </row>
    <row r="6" customFormat="false" ht="15.75" hidden="false" customHeight="false" outlineLevel="0" collapsed="false">
      <c r="A6" s="548" t="str">
        <f aca="false">HYPERLINK("https://phillipreeve.net/blog/hands-on-olympus-250mm-2-0-om-zuiko-auto-t/","Olympus Zuiko Auto-T 250mm 1:2")</f>
        <v>Olympus Zuiko Auto-T 250mm 1:2</v>
      </c>
      <c r="B6" s="526" t="n">
        <v>3900</v>
      </c>
      <c r="C6" s="527" t="n">
        <v>250</v>
      </c>
      <c r="D6" s="528" t="n">
        <v>2</v>
      </c>
      <c r="E6" s="529" t="n">
        <v>142</v>
      </c>
      <c r="F6" s="530" t="n">
        <v>255</v>
      </c>
      <c r="G6" s="531" t="s">
        <v>25</v>
      </c>
      <c r="H6" s="192" t="s">
        <v>303</v>
      </c>
      <c r="I6" s="532" t="n">
        <v>2.2</v>
      </c>
      <c r="J6" s="531" t="n">
        <v>9</v>
      </c>
      <c r="K6" s="533" t="s">
        <v>208</v>
      </c>
      <c r="L6" s="534"/>
      <c r="M6" s="535"/>
      <c r="N6" s="192"/>
    </row>
    <row r="7" customFormat="false" ht="15.75" hidden="false" customHeight="false" outlineLevel="0" collapsed="false">
      <c r="A7" s="525"/>
      <c r="B7" s="526"/>
      <c r="C7" s="527"/>
      <c r="D7" s="528"/>
      <c r="E7" s="529"/>
      <c r="F7" s="530"/>
      <c r="G7" s="531"/>
      <c r="H7" s="192"/>
      <c r="I7" s="532"/>
      <c r="J7" s="531"/>
      <c r="K7" s="533"/>
      <c r="L7" s="534"/>
      <c r="M7" s="535"/>
      <c r="N7" s="192"/>
    </row>
    <row r="8" customFormat="false" ht="15.75" hidden="false" customHeight="false" outlineLevel="0" collapsed="false">
      <c r="A8" s="525"/>
      <c r="B8" s="526"/>
      <c r="C8" s="527"/>
      <c r="D8" s="528"/>
      <c r="E8" s="529"/>
      <c r="F8" s="530"/>
      <c r="G8" s="531"/>
      <c r="H8" s="192"/>
      <c r="I8" s="532"/>
      <c r="J8" s="531"/>
      <c r="K8" s="533"/>
      <c r="L8" s="534"/>
      <c r="M8" s="535"/>
      <c r="N8" s="192"/>
    </row>
    <row r="9" customFormat="false" ht="15.75" hidden="false" customHeight="false" outlineLevel="0" collapsed="false">
      <c r="A9" s="303"/>
      <c r="B9" s="304"/>
      <c r="C9" s="303"/>
      <c r="D9" s="303"/>
      <c r="E9" s="305"/>
      <c r="F9" s="306"/>
      <c r="G9" s="307"/>
      <c r="H9" s="303"/>
      <c r="I9" s="303"/>
      <c r="J9" s="303"/>
      <c r="K9" s="303"/>
      <c r="L9" s="303"/>
      <c r="M9" s="303"/>
      <c r="N9" s="308"/>
    </row>
    <row r="10" customFormat="false" ht="15.75" hidden="false" customHeight="false" outlineLevel="0" collapsed="false">
      <c r="A10" s="69" t="s">
        <v>181</v>
      </c>
      <c r="B10" s="309" t="n">
        <f aca="false">COUNT(C2:C100)</f>
        <v>3</v>
      </c>
      <c r="D10" s="69"/>
      <c r="E10" s="302"/>
      <c r="F10" s="310"/>
      <c r="G10" s="298"/>
      <c r="H10" s="69"/>
      <c r="I10" s="69"/>
      <c r="J10" s="69"/>
      <c r="K10" s="69"/>
      <c r="L10" s="69"/>
      <c r="M10" s="69"/>
    </row>
    <row r="11" customFormat="false" ht="15.75" hidden="false" customHeight="false" outlineLevel="0" collapsed="false">
      <c r="A11" s="311" t="s">
        <v>304</v>
      </c>
      <c r="E11" s="302"/>
    </row>
    <row r="12" customFormat="false" ht="15.75" hidden="false" customHeight="false" outlineLevel="0" collapsed="false">
      <c r="A12" s="294"/>
      <c r="B12" s="69"/>
      <c r="C12" s="69"/>
      <c r="D12" s="69"/>
      <c r="E12" s="302"/>
      <c r="F12" s="310"/>
      <c r="G12" s="298"/>
      <c r="H12" s="69"/>
      <c r="I12" s="69"/>
      <c r="J12" s="69"/>
      <c r="K12" s="69"/>
      <c r="L12" s="69"/>
      <c r="M12" s="69"/>
      <c r="N12" s="301"/>
    </row>
    <row r="13" customFormat="false" ht="15.75" hidden="false" customHeight="false" outlineLevel="0" collapsed="false">
      <c r="A13" s="312" t="str">
        <f aca="false">HYPERLINK("https://phillipreeve.net/blog/sony-fe-lenses/fe-list/","If you have a question or want to report any mistake please leave a comment on the blog.")</f>
        <v>If you have a question or want to report any mistake please leave a comment on the blog.</v>
      </c>
      <c r="B13" s="313"/>
      <c r="C13" s="313"/>
      <c r="D13" s="313"/>
      <c r="E13" s="314"/>
      <c r="F13" s="315"/>
      <c r="G13" s="316"/>
      <c r="H13" s="313"/>
    </row>
    <row r="14" customFormat="false" ht="15.75" hidden="false" customHeight="false" outlineLevel="0" collapsed="false"/>
    <row r="15" customFormat="false" ht="15.75" hidden="false" customHeight="false" outlineLevel="0" collapsed="false">
      <c r="A15" s="294" t="s">
        <v>183</v>
      </c>
      <c r="E15" s="302"/>
    </row>
    <row r="16" customFormat="false" ht="15.75" hidden="false" customHeight="false" outlineLevel="0" collapsed="false">
      <c r="A16" s="69"/>
      <c r="E16" s="302"/>
    </row>
    <row r="17" customFormat="false" ht="15.75" hidden="false" customHeight="false" outlineLevel="0" collapsed="false">
      <c r="A17" s="69"/>
      <c r="E17" s="302"/>
    </row>
    <row r="18" customFormat="false" ht="15.75" hidden="false" customHeight="false" outlineLevel="0" collapsed="false">
      <c r="A18" s="69"/>
      <c r="E18" s="302"/>
    </row>
    <row r="19" customFormat="false" ht="15.75" hidden="false" customHeight="false" outlineLevel="0" collapsed="false">
      <c r="A19" s="69"/>
      <c r="E19" s="302"/>
    </row>
    <row r="20" customFormat="false" ht="15.75" hidden="false" customHeight="false" outlineLevel="0" collapsed="false">
      <c r="A20" s="69"/>
      <c r="E20" s="302"/>
    </row>
    <row r="21" customFormat="false" ht="15.75" hidden="false" customHeight="false" outlineLevel="0" collapsed="false">
      <c r="A21" s="69"/>
      <c r="E21" s="302"/>
    </row>
    <row r="22" customFormat="false" ht="15.75" hidden="false" customHeight="false" outlineLevel="0" collapsed="false">
      <c r="A22" s="69"/>
      <c r="E22" s="302"/>
    </row>
    <row r="23" customFormat="false" ht="15.75" hidden="false" customHeight="false" outlineLevel="0" collapsed="false"/>
    <row r="24" customFormat="false" ht="15.75" hidden="false" customHeight="false" outlineLevel="0" collapsed="false">
      <c r="A24" s="294"/>
    </row>
    <row r="25" customFormat="false" ht="15.75" hidden="false" customHeight="false" outlineLevel="0" collapsed="false"/>
    <row r="26" customFormat="false" ht="15.75" hidden="false" customHeight="false" outlineLevel="0" collapsed="false"/>
    <row r="27" customFormat="false" ht="15.75" hidden="false" customHeight="false" outlineLevel="0" collapsed="false"/>
    <row r="28" customFormat="false" ht="15.75" hidden="false" customHeight="false" outlineLevel="0" collapsed="false"/>
    <row r="29" customFormat="false" ht="15.75" hidden="false" customHeight="false" outlineLevel="0" collapsed="false">
      <c r="A29" s="294"/>
    </row>
    <row r="30" customFormat="false" ht="15.75" hidden="false" customHeight="false" outlineLevel="0" collapsed="false">
      <c r="A30" s="294" t="s">
        <v>191</v>
      </c>
    </row>
    <row r="31" customFormat="false" ht="15.75" hidden="false" customHeight="false" outlineLevel="0" collapsed="false">
      <c r="A31" s="69" t="s">
        <v>192</v>
      </c>
      <c r="D31" s="294"/>
    </row>
    <row r="32" customFormat="false" ht="15.75" hidden="false" customHeight="false" outlineLevel="0" collapsed="false"/>
    <row r="33" customFormat="false" ht="15.75" hidden="false" customHeight="false" outlineLevel="0" collapsed="false"/>
    <row r="34" customFormat="false" ht="15.75" hidden="false" customHeight="false" outlineLevel="0" collapsed="false">
      <c r="A34" s="317" t="str">
        <f aca="false">HYPERLINK("https://phillipreeve.net/blog/impressum/","Impressum")</f>
        <v>Impressum</v>
      </c>
    </row>
    <row r="35" customFormat="false" ht="15.75" hidden="false" customHeight="false" outlineLevel="0" collapsed="false"/>
    <row r="36" customFormat="false" ht="15.75" hidden="false" customHeight="false" outlineLevel="0" collapsed="false"/>
    <row r="37" customFormat="false" ht="15.75" hidden="false" customHeight="false" outlineLevel="0" collapsed="false"/>
    <row r="38" customFormat="false" ht="15.75" hidden="false" customHeight="false" outlineLevel="0" collapsed="false"/>
    <row r="39" customFormat="false" ht="15.75" hidden="false" customHeight="false" outlineLevel="0" collapsed="false"/>
    <row r="40" customFormat="false" ht="15.75" hidden="false" customHeight="false" outlineLevel="0" collapsed="false">
      <c r="A40" s="294"/>
    </row>
    <row r="41" customFormat="false" ht="15.75" hidden="false" customHeight="false" outlineLevel="0" collapsed="false">
      <c r="A41" s="294"/>
    </row>
    <row r="42" customFormat="false" ht="15.75" hidden="false" customHeight="false" outlineLevel="0" collapsed="false">
      <c r="A42" s="294"/>
    </row>
    <row r="43" customFormat="false" ht="15.75" hidden="false" customHeight="false" outlineLevel="0" collapsed="false">
      <c r="A43" s="294"/>
    </row>
    <row r="44" customFormat="false" ht="15.75" hidden="false" customHeight="false" outlineLevel="0" collapsed="false">
      <c r="A44" s="294"/>
    </row>
    <row r="45" customFormat="false" ht="15.75" hidden="false" customHeight="false" outlineLevel="0" collapsed="false">
      <c r="A45" s="294"/>
    </row>
    <row r="46" customFormat="false" ht="15.75" hidden="false" customHeight="false" outlineLevel="0" collapsed="false">
      <c r="A46" s="294"/>
    </row>
    <row r="47" customFormat="false" ht="15.75" hidden="false" customHeight="false" outlineLevel="0" collapsed="false">
      <c r="A47" s="294"/>
    </row>
    <row r="48" customFormat="false" ht="15.75" hidden="false" customHeight="false" outlineLevel="0" collapsed="false">
      <c r="A48" s="294"/>
    </row>
    <row r="49" customFormat="false" ht="15.75" hidden="false" customHeight="false" outlineLevel="0" collapsed="false">
      <c r="A49" s="294"/>
    </row>
    <row r="50" customFormat="false" ht="15.75" hidden="false" customHeight="false" outlineLevel="0" collapsed="false">
      <c r="A50" s="294"/>
    </row>
    <row r="51" customFormat="false" ht="15.75" hidden="false" customHeight="false" outlineLevel="0" collapsed="false">
      <c r="A51" s="294"/>
    </row>
    <row r="52" customFormat="false" ht="15.75" hidden="false" customHeight="false" outlineLevel="0" collapsed="false">
      <c r="A52" s="294"/>
    </row>
    <row r="53" customFormat="false" ht="15.75" hidden="false" customHeight="false" outlineLevel="0" collapsed="false">
      <c r="A53" s="294"/>
    </row>
    <row r="54" customFormat="false" ht="15.75" hidden="false" customHeight="false" outlineLevel="0" collapsed="false">
      <c r="A54" s="294"/>
    </row>
    <row r="55" customFormat="false" ht="15.75" hidden="false" customHeight="false" outlineLevel="0" collapsed="false">
      <c r="A55" s="294"/>
    </row>
    <row r="56" customFormat="false" ht="15.75" hidden="false" customHeight="false" outlineLevel="0" collapsed="false">
      <c r="A56" s="294"/>
    </row>
    <row r="57" customFormat="false" ht="15.75" hidden="false" customHeight="false" outlineLevel="0" collapsed="false">
      <c r="A57" s="294"/>
    </row>
    <row r="58" customFormat="false" ht="15.75" hidden="false" customHeight="false" outlineLevel="0" collapsed="false">
      <c r="A58" s="294"/>
    </row>
    <row r="59" customFormat="false" ht="15.75" hidden="false" customHeight="false" outlineLevel="0" collapsed="false">
      <c r="A59" s="294"/>
    </row>
    <row r="60" customFormat="false" ht="15.75" hidden="false" customHeight="false" outlineLevel="0" collapsed="false">
      <c r="A60" s="294"/>
    </row>
    <row r="61" customFormat="false" ht="15.75" hidden="false" customHeight="false" outlineLevel="0" collapsed="false"/>
    <row r="62" customFormat="false" ht="15.75" hidden="false" customHeight="false" outlineLevel="0" collapsed="false"/>
    <row r="63" customFormat="false" ht="15.75" hidden="false" customHeight="false" outlineLevel="0" collapsed="false"/>
    <row r="64" customFormat="false" ht="15.75" hidden="false" customHeight="false" outlineLevel="0" collapsed="false"/>
    <row r="65" customFormat="false" ht="15.75" hidden="false" customHeight="false" outlineLevel="0" collapsed="false"/>
    <row r="66" customFormat="false" ht="15.75" hidden="false" customHeight="false" outlineLevel="0" collapsed="false"/>
    <row r="67" customFormat="false" ht="15.75" hidden="false" customHeight="false" outlineLevel="0" collapsed="false"/>
    <row r="68" customFormat="false" ht="15.75" hidden="false" customHeight="false" outlineLevel="0" collapsed="false"/>
    <row r="69" customFormat="false" ht="15.75" hidden="false" customHeight="false" outlineLevel="0" collapsed="false"/>
    <row r="70" customFormat="false" ht="15.75" hidden="false" customHeight="false" outlineLevel="0" collapsed="false"/>
    <row r="71" customFormat="false" ht="15.75" hidden="false" customHeight="false" outlineLevel="0" collapsed="false"/>
    <row r="72" customFormat="false" ht="15.75" hidden="false" customHeight="false" outlineLevel="0" collapsed="false"/>
    <row r="73" customFormat="false" ht="15.75" hidden="false" customHeight="false" outlineLevel="0" collapsed="false"/>
    <row r="74" customFormat="false" ht="15.75" hidden="false" customHeight="false" outlineLevel="0" collapsed="false"/>
    <row r="75" customFormat="false" ht="15.75" hidden="false" customHeight="false" outlineLevel="0" collapsed="false"/>
    <row r="76" customFormat="false" ht="15.75" hidden="false" customHeight="false" outlineLevel="0" collapsed="false"/>
    <row r="77" customFormat="false" ht="15.75" hidden="false" customHeight="false" outlineLevel="0" collapsed="false"/>
    <row r="78" customFormat="false" ht="15.75" hidden="false" customHeight="false" outlineLevel="0" collapsed="false"/>
    <row r="79" customFormat="false" ht="15.75" hidden="false" customHeight="false" outlineLevel="0" collapsed="false"/>
    <row r="80" customFormat="false" ht="15.75" hidden="false" customHeight="false" outlineLevel="0" collapsed="false"/>
    <row r="81" customFormat="false" ht="15.75" hidden="false" customHeight="false" outlineLevel="0" collapsed="false"/>
    <row r="82" customFormat="false" ht="15.75" hidden="false" customHeight="false" outlineLevel="0" collapsed="false"/>
    <row r="83" customFormat="false" ht="15.75" hidden="false" customHeight="false" outlineLevel="0" collapsed="false"/>
    <row r="84" customFormat="false" ht="15.75" hidden="false" customHeight="false" outlineLevel="0" collapsed="false"/>
    <row r="85" customFormat="false" ht="15.75" hidden="false" customHeight="false" outlineLevel="0" collapsed="false"/>
    <row r="86" customFormat="false" ht="15.75" hidden="false" customHeight="false" outlineLevel="0" collapsed="false"/>
    <row r="87" customFormat="false" ht="15.75" hidden="false" customHeight="false" outlineLevel="0" collapsed="false"/>
    <row r="88" customFormat="false" ht="15.75" hidden="false" customHeight="false" outlineLevel="0" collapsed="false"/>
    <row r="89" customFormat="false" ht="15.75" hidden="false" customHeight="false" outlineLevel="0" collapsed="false"/>
    <row r="90" customFormat="false" ht="15.75" hidden="false" customHeight="false" outlineLevel="0" collapsed="false"/>
    <row r="91" customFormat="false" ht="15.75" hidden="false" customHeight="false" outlineLevel="0" collapsed="false"/>
    <row r="92" customFormat="false" ht="15.75" hidden="false" customHeight="false" outlineLevel="0" collapsed="false"/>
    <row r="93" customFormat="false" ht="15.75" hidden="false" customHeight="false" outlineLevel="0" collapsed="false"/>
    <row r="94" customFormat="false" ht="15.75" hidden="false" customHeight="false" outlineLevel="0" collapsed="false"/>
    <row r="95" customFormat="false" ht="15.75" hidden="false" customHeight="false" outlineLevel="0" collapsed="false"/>
    <row r="96" customFormat="false" ht="15.75" hidden="false" customHeight="false" outlineLevel="0" collapsed="false"/>
    <row r="97" customFormat="false" ht="15.75" hidden="false" customHeight="false" outlineLevel="0" collapsed="false"/>
    <row r="98" customFormat="false" ht="15.75" hidden="false" customHeight="false" outlineLevel="0" collapsed="false"/>
    <row r="99" customFormat="false" ht="15.75" hidden="false" customHeight="false" outlineLevel="0" collapsed="false"/>
    <row r="100" customFormat="false" ht="15.75" hidden="false" customHeight="false" outlineLevel="0" collapsed="false"/>
    <row r="101" customFormat="false" ht="15.75" hidden="false" customHeight="false" outlineLevel="0" collapsed="false"/>
    <row r="102" customFormat="false" ht="15.75" hidden="false" customHeight="false" outlineLevel="0" collapsed="false"/>
    <row r="103" customFormat="false" ht="15.75" hidden="false" customHeight="false" outlineLevel="0" collapsed="false"/>
    <row r="104" customFormat="false" ht="15.75" hidden="false" customHeight="false" outlineLevel="0" collapsed="false"/>
    <row r="105" customFormat="false" ht="15.75" hidden="false" customHeight="false" outlineLevel="0" collapsed="false"/>
    <row r="106" customFormat="false" ht="15.75" hidden="false" customHeight="false" outlineLevel="0" collapsed="false"/>
    <row r="107" customFormat="false" ht="15.75" hidden="false" customHeight="false" outlineLevel="0" collapsed="false"/>
    <row r="108" customFormat="false" ht="15.75" hidden="false" customHeight="false" outlineLevel="0" collapsed="false"/>
    <row r="109" customFormat="false" ht="15.75" hidden="false" customHeight="false" outlineLevel="0" collapsed="false"/>
    <row r="110" customFormat="false" ht="15.75" hidden="false" customHeight="false" outlineLevel="0" collapsed="false"/>
    <row r="111" customFormat="false" ht="15.75" hidden="false" customHeight="false" outlineLevel="0" collapsed="false"/>
    <row r="112" customFormat="false" ht="15.75" hidden="false" customHeight="false" outlineLevel="0" collapsed="false"/>
    <row r="113" customFormat="false" ht="15.75" hidden="false" customHeight="false" outlineLevel="0" collapsed="false"/>
    <row r="114" customFormat="false" ht="15.75" hidden="false" customHeight="false" outlineLevel="0" collapsed="false"/>
    <row r="115" customFormat="false" ht="15.75" hidden="false" customHeight="false" outlineLevel="0" collapsed="false"/>
    <row r="116" customFormat="false" ht="15.75" hidden="false" customHeight="false" outlineLevel="0" collapsed="false"/>
    <row r="117" customFormat="false" ht="15.75" hidden="false" customHeight="false" outlineLevel="0" collapsed="false"/>
    <row r="118" customFormat="false" ht="15.75" hidden="false" customHeight="false" outlineLevel="0" collapsed="false"/>
    <row r="119" customFormat="false" ht="15.75" hidden="false" customHeight="false" outlineLevel="0" collapsed="false"/>
    <row r="120" customFormat="false" ht="15.75" hidden="false" customHeight="false" outlineLevel="0" collapsed="false"/>
    <row r="121" customFormat="false" ht="15.75" hidden="false" customHeight="false" outlineLevel="0" collapsed="false"/>
    <row r="122" customFormat="false" ht="15.75" hidden="false" customHeight="false" outlineLevel="0" collapsed="false"/>
    <row r="123" customFormat="false" ht="15.75" hidden="false" customHeight="false" outlineLevel="0" collapsed="false"/>
    <row r="124" customFormat="false" ht="15.75" hidden="false" customHeight="false" outlineLevel="0" collapsed="false"/>
    <row r="125" customFormat="false" ht="15.75" hidden="false" customHeight="false" outlineLevel="0" collapsed="false"/>
    <row r="126" customFormat="false" ht="15.75" hidden="false" customHeight="false" outlineLevel="0" collapsed="false"/>
    <row r="127" customFormat="false" ht="15.75" hidden="false" customHeight="false" outlineLevel="0" collapsed="false"/>
    <row r="128" customFormat="false" ht="15.75" hidden="false" customHeight="false" outlineLevel="0" collapsed="false"/>
    <row r="129" customFormat="false" ht="15.75" hidden="false" customHeight="false" outlineLevel="0" collapsed="false"/>
    <row r="130" customFormat="false" ht="15.75" hidden="false" customHeight="false" outlineLevel="0" collapsed="false"/>
    <row r="131" customFormat="false" ht="15.75" hidden="false" customHeight="false" outlineLevel="0" collapsed="false"/>
    <row r="132" customFormat="false" ht="15.75" hidden="false" customHeight="false" outlineLevel="0" collapsed="false"/>
    <row r="133" customFormat="false" ht="15.75" hidden="false" customHeight="false" outlineLevel="0" collapsed="false"/>
    <row r="134" customFormat="false" ht="15.75" hidden="false" customHeight="false" outlineLevel="0" collapsed="false"/>
    <row r="135" customFormat="false" ht="15.75" hidden="false" customHeight="false" outlineLevel="0" collapsed="false"/>
    <row r="136" customFormat="false" ht="15.75" hidden="false" customHeight="false" outlineLevel="0" collapsed="false"/>
    <row r="137" customFormat="false" ht="15.75" hidden="false" customHeight="false" outlineLevel="0" collapsed="false"/>
    <row r="138" customFormat="false" ht="15.75" hidden="false" customHeight="false" outlineLevel="0" collapsed="false"/>
    <row r="139" customFormat="false" ht="15.75" hidden="false" customHeight="false" outlineLevel="0" collapsed="false"/>
    <row r="140" customFormat="false" ht="15.75" hidden="false" customHeight="false" outlineLevel="0" collapsed="false"/>
    <row r="141" customFormat="false" ht="15.75" hidden="false" customHeight="false" outlineLevel="0" collapsed="false"/>
    <row r="142" customFormat="false" ht="15.75" hidden="false" customHeight="false" outlineLevel="0" collapsed="false"/>
    <row r="143" customFormat="false" ht="15.75" hidden="false" customHeight="false" outlineLevel="0" collapsed="false"/>
    <row r="144" customFormat="false" ht="15.75" hidden="false" customHeight="false" outlineLevel="0" collapsed="false"/>
    <row r="145" customFormat="false" ht="15.75" hidden="false" customHeight="false" outlineLevel="0" collapsed="false"/>
    <row r="146" customFormat="false" ht="15.75" hidden="false" customHeight="false" outlineLevel="0" collapsed="false"/>
    <row r="147" customFormat="false" ht="15.75" hidden="false" customHeight="false" outlineLevel="0" collapsed="false"/>
    <row r="148" customFormat="false" ht="15.75" hidden="false" customHeight="false" outlineLevel="0" collapsed="false"/>
    <row r="149" customFormat="false" ht="15.75" hidden="false" customHeight="false" outlineLevel="0" collapsed="false"/>
    <row r="150" customFormat="false" ht="15.75" hidden="false" customHeight="false" outlineLevel="0" collapsed="false"/>
    <row r="151" customFormat="false" ht="15.75" hidden="false" customHeight="false" outlineLevel="0" collapsed="false"/>
    <row r="152" customFormat="false" ht="15.75" hidden="false" customHeight="false" outlineLevel="0" collapsed="false"/>
    <row r="153" customFormat="false" ht="15.75" hidden="false" customHeight="false" outlineLevel="0" collapsed="false"/>
    <row r="154" customFormat="false" ht="15.75" hidden="false" customHeight="false" outlineLevel="0" collapsed="false"/>
    <row r="155" customFormat="false" ht="15.75" hidden="false" customHeight="false" outlineLevel="0" collapsed="false"/>
    <row r="156" customFormat="false" ht="15.75" hidden="false" customHeight="false" outlineLevel="0" collapsed="false"/>
    <row r="157" customFormat="false" ht="15.75" hidden="false" customHeight="false" outlineLevel="0" collapsed="false"/>
    <row r="158" customFormat="false" ht="15.75" hidden="false" customHeight="false" outlineLevel="0" collapsed="false"/>
    <row r="159" customFormat="false" ht="15.75" hidden="false" customHeight="false" outlineLevel="0" collapsed="false"/>
    <row r="160" customFormat="false" ht="15.75" hidden="false" customHeight="false" outlineLevel="0" collapsed="false"/>
    <row r="161" customFormat="false" ht="15.75" hidden="false" customHeight="false" outlineLevel="0" collapsed="false"/>
    <row r="162" customFormat="false" ht="15.75" hidden="false" customHeight="false" outlineLevel="0" collapsed="false"/>
    <row r="163" customFormat="false" ht="15.75" hidden="false" customHeight="false" outlineLevel="0" collapsed="false"/>
    <row r="164" customFormat="false" ht="15.75" hidden="false" customHeight="false" outlineLevel="0" collapsed="false"/>
    <row r="165" customFormat="false" ht="15.75" hidden="false" customHeight="false" outlineLevel="0" collapsed="false"/>
    <row r="166" customFormat="false" ht="15.75" hidden="false" customHeight="false" outlineLevel="0" collapsed="false"/>
    <row r="167" customFormat="false" ht="15.75" hidden="false" customHeight="false" outlineLevel="0" collapsed="false"/>
    <row r="168" customFormat="false" ht="15.75" hidden="false" customHeight="false" outlineLevel="0" collapsed="false"/>
    <row r="169" customFormat="false" ht="15.75" hidden="false" customHeight="false" outlineLevel="0" collapsed="false"/>
    <row r="170" customFormat="false" ht="15.75" hidden="false" customHeight="false" outlineLevel="0" collapsed="false"/>
    <row r="171" customFormat="false" ht="15.75" hidden="false" customHeight="false" outlineLevel="0" collapsed="false"/>
    <row r="172" customFormat="false" ht="15.75" hidden="false" customHeight="false" outlineLevel="0" collapsed="false"/>
    <row r="173" customFormat="false" ht="15.75" hidden="false" customHeight="false" outlineLevel="0" collapsed="false"/>
    <row r="174" customFormat="false" ht="15.75" hidden="false" customHeight="false" outlineLevel="0" collapsed="false"/>
    <row r="175" customFormat="false" ht="15.75" hidden="false" customHeight="false" outlineLevel="0" collapsed="false"/>
    <row r="176" customFormat="false" ht="15.75" hidden="false" customHeight="false" outlineLevel="0" collapsed="false"/>
    <row r="177" customFormat="false" ht="15.75" hidden="false" customHeight="false" outlineLevel="0" collapsed="false"/>
    <row r="178" customFormat="false" ht="15.75" hidden="false" customHeight="false" outlineLevel="0" collapsed="false"/>
    <row r="179" customFormat="false" ht="15.75" hidden="false" customHeight="false" outlineLevel="0" collapsed="false"/>
    <row r="180" customFormat="false" ht="15.75" hidden="false" customHeight="false" outlineLevel="0" collapsed="false"/>
    <row r="181" customFormat="false" ht="15.75" hidden="false" customHeight="false" outlineLevel="0" collapsed="false"/>
    <row r="182" customFormat="false" ht="15.75" hidden="false" customHeight="false" outlineLevel="0" collapsed="false"/>
    <row r="183" customFormat="false" ht="15.75" hidden="false" customHeight="false" outlineLevel="0" collapsed="false"/>
    <row r="184" customFormat="false" ht="15.75" hidden="false" customHeight="false" outlineLevel="0" collapsed="false"/>
    <row r="185" customFormat="false" ht="15.75" hidden="false" customHeight="false" outlineLevel="0" collapsed="false"/>
    <row r="186" customFormat="false" ht="15.75" hidden="false" customHeight="false" outlineLevel="0" collapsed="false"/>
    <row r="187" customFormat="false" ht="15.75" hidden="false" customHeight="false" outlineLevel="0" collapsed="false"/>
    <row r="188" customFormat="false" ht="15.75" hidden="false" customHeight="false" outlineLevel="0" collapsed="false"/>
    <row r="189" customFormat="false" ht="15.75" hidden="false" customHeight="false" outlineLevel="0" collapsed="false"/>
    <row r="190" customFormat="false" ht="15.75" hidden="false" customHeight="false" outlineLevel="0" collapsed="false"/>
    <row r="191" customFormat="false" ht="15.75" hidden="false" customHeight="false" outlineLevel="0" collapsed="false"/>
    <row r="192" customFormat="false" ht="15.75" hidden="false" customHeight="false" outlineLevel="0" collapsed="false"/>
    <row r="193" customFormat="false" ht="15.75" hidden="false" customHeight="false" outlineLevel="0" collapsed="false"/>
    <row r="194" customFormat="false" ht="15.75" hidden="false" customHeight="false" outlineLevel="0" collapsed="false"/>
    <row r="195" customFormat="false" ht="15.75" hidden="false" customHeight="false" outlineLevel="0" collapsed="false"/>
    <row r="196" customFormat="false" ht="15.75" hidden="false" customHeight="false" outlineLevel="0" collapsed="false"/>
    <row r="197" customFormat="false" ht="15.75" hidden="false" customHeight="false" outlineLevel="0" collapsed="false"/>
    <row r="198" customFormat="false" ht="15.75" hidden="false" customHeight="false" outlineLevel="0" collapsed="false"/>
    <row r="199" customFormat="false" ht="15.75" hidden="false" customHeight="false" outlineLevel="0" collapsed="false"/>
    <row r="200" customFormat="false" ht="15.75" hidden="false" customHeight="false" outlineLevel="0" collapsed="false"/>
    <row r="201" customFormat="false" ht="15.75" hidden="false" customHeight="false" outlineLevel="0" collapsed="false"/>
    <row r="202" customFormat="false" ht="15.75" hidden="false" customHeight="false" outlineLevel="0" collapsed="false"/>
    <row r="203" customFormat="false" ht="15.75" hidden="false" customHeight="false" outlineLevel="0" collapsed="false"/>
    <row r="204" customFormat="false" ht="15.75" hidden="false" customHeight="false" outlineLevel="0" collapsed="false"/>
    <row r="205" customFormat="false" ht="15.75" hidden="false" customHeight="false" outlineLevel="0" collapsed="false"/>
    <row r="206" customFormat="false" ht="15.75" hidden="false" customHeight="false" outlineLevel="0" collapsed="false"/>
    <row r="207" customFormat="false" ht="15.75" hidden="false" customHeight="false" outlineLevel="0" collapsed="false"/>
    <row r="208" customFormat="false" ht="15.75" hidden="false" customHeight="false" outlineLevel="0" collapsed="false"/>
    <row r="209" customFormat="false" ht="15.75" hidden="false" customHeight="false" outlineLevel="0" collapsed="false"/>
    <row r="210" customFormat="false" ht="15.75" hidden="false" customHeight="false" outlineLevel="0" collapsed="false"/>
    <row r="211" customFormat="false" ht="15.75" hidden="false" customHeight="false" outlineLevel="0" collapsed="false"/>
    <row r="212" customFormat="false" ht="15.75" hidden="false" customHeight="false" outlineLevel="0" collapsed="false"/>
    <row r="213" customFormat="false" ht="15.75" hidden="false" customHeight="false" outlineLevel="0" collapsed="false"/>
    <row r="214" customFormat="false" ht="15.75" hidden="false" customHeight="false" outlineLevel="0" collapsed="false"/>
    <row r="215" customFormat="false" ht="15.75" hidden="false" customHeight="false" outlineLevel="0" collapsed="false"/>
    <row r="216" customFormat="false" ht="15.75" hidden="false" customHeight="false" outlineLevel="0" collapsed="false"/>
    <row r="217" customFormat="false" ht="15.75" hidden="false" customHeight="false" outlineLevel="0" collapsed="false"/>
    <row r="218" customFormat="false" ht="15.75" hidden="false" customHeight="false" outlineLevel="0" collapsed="false"/>
    <row r="219" customFormat="false" ht="15.75" hidden="false" customHeight="false" outlineLevel="0" collapsed="false"/>
    <row r="220" customFormat="false" ht="15.75" hidden="false" customHeight="false" outlineLevel="0" collapsed="false"/>
    <row r="221" customFormat="false" ht="15.75" hidden="false" customHeight="false" outlineLevel="0" collapsed="false"/>
    <row r="222" customFormat="false" ht="15.75" hidden="false" customHeight="false" outlineLevel="0" collapsed="false"/>
    <row r="223" customFormat="false" ht="15.75" hidden="false" customHeight="false" outlineLevel="0" collapsed="false"/>
    <row r="224" customFormat="false" ht="15.75" hidden="false" customHeight="false" outlineLevel="0" collapsed="false"/>
    <row r="225" customFormat="false" ht="15.75" hidden="false" customHeight="false" outlineLevel="0" collapsed="false"/>
    <row r="226" customFormat="false" ht="15.75" hidden="false" customHeight="false" outlineLevel="0" collapsed="false"/>
    <row r="227" customFormat="false" ht="15.75" hidden="false" customHeight="false" outlineLevel="0" collapsed="false"/>
    <row r="228" customFormat="false" ht="15.75" hidden="false" customHeight="false" outlineLevel="0" collapsed="false"/>
    <row r="229" customFormat="false" ht="15.75" hidden="false" customHeight="false" outlineLevel="0" collapsed="false"/>
    <row r="230" customFormat="false" ht="15.75" hidden="false" customHeight="false" outlineLevel="0" collapsed="false"/>
    <row r="231" customFormat="false" ht="15.75" hidden="false" customHeight="false" outlineLevel="0" collapsed="false"/>
    <row r="232" customFormat="false" ht="15.75" hidden="false" customHeight="false" outlineLevel="0" collapsed="false"/>
    <row r="233" customFormat="false" ht="15.75" hidden="false" customHeight="false" outlineLevel="0" collapsed="false"/>
    <row r="234" customFormat="false" ht="15.75" hidden="false" customHeight="false" outlineLevel="0" collapsed="false"/>
    <row r="235" customFormat="false" ht="15.75" hidden="false" customHeight="false" outlineLevel="0" collapsed="false"/>
    <row r="236" customFormat="false" ht="15.75" hidden="false" customHeight="false" outlineLevel="0" collapsed="false"/>
    <row r="237" customFormat="false" ht="15.75" hidden="false" customHeight="false" outlineLevel="0" collapsed="false"/>
    <row r="238" customFormat="false" ht="15.75" hidden="false" customHeight="false" outlineLevel="0" collapsed="false"/>
    <row r="239" customFormat="false" ht="15.75" hidden="false" customHeight="false" outlineLevel="0" collapsed="false"/>
    <row r="240" customFormat="false" ht="15.75" hidden="false" customHeight="false" outlineLevel="0" collapsed="false"/>
    <row r="241" customFormat="false" ht="15.75" hidden="false" customHeight="false" outlineLevel="0" collapsed="false"/>
    <row r="242" customFormat="false" ht="15.75" hidden="false" customHeight="false" outlineLevel="0" collapsed="false"/>
    <row r="243" customFormat="false" ht="15.75" hidden="false" customHeight="false" outlineLevel="0" collapsed="false"/>
    <row r="244" customFormat="false" ht="15.75" hidden="false" customHeight="false" outlineLevel="0" collapsed="false"/>
    <row r="245" customFormat="false" ht="15.75" hidden="false" customHeight="false" outlineLevel="0" collapsed="false"/>
    <row r="246" customFormat="false" ht="15.75" hidden="false" customHeight="false" outlineLevel="0" collapsed="false"/>
    <row r="247" customFormat="false" ht="15.75" hidden="false" customHeight="false" outlineLevel="0" collapsed="false"/>
    <row r="248" customFormat="false" ht="15.75" hidden="false" customHeight="false" outlineLevel="0" collapsed="false"/>
    <row r="249" customFormat="false" ht="15.75" hidden="false" customHeight="false" outlineLevel="0" collapsed="false"/>
    <row r="250" customFormat="false" ht="15.75" hidden="false" customHeight="false" outlineLevel="0" collapsed="false"/>
    <row r="251" customFormat="false" ht="15.75" hidden="false" customHeight="false" outlineLevel="0" collapsed="false"/>
    <row r="252" customFormat="false" ht="15.75" hidden="false" customHeight="false" outlineLevel="0" collapsed="false"/>
    <row r="253" customFormat="false" ht="15.75" hidden="false" customHeight="false" outlineLevel="0" collapsed="false"/>
    <row r="254" customFormat="false" ht="15.75" hidden="false" customHeight="false" outlineLevel="0" collapsed="false"/>
    <row r="255" customFormat="false" ht="15.75" hidden="false" customHeight="false" outlineLevel="0" collapsed="false"/>
    <row r="256" customFormat="false" ht="15.75" hidden="false" customHeight="false" outlineLevel="0" collapsed="false"/>
    <row r="257" customFormat="false" ht="15.75" hidden="false" customHeight="false" outlineLevel="0" collapsed="false"/>
    <row r="258" customFormat="false" ht="15.75" hidden="false" customHeight="false" outlineLevel="0" collapsed="false"/>
    <row r="259" customFormat="false" ht="15.75" hidden="false" customHeight="false" outlineLevel="0" collapsed="false"/>
    <row r="260" customFormat="false" ht="15.75" hidden="false" customHeight="false" outlineLevel="0" collapsed="false"/>
    <row r="261" customFormat="false" ht="15.75" hidden="false" customHeight="false" outlineLevel="0" collapsed="false"/>
    <row r="262" customFormat="false" ht="15.75" hidden="false" customHeight="false" outlineLevel="0" collapsed="false"/>
    <row r="263" customFormat="false" ht="15.75" hidden="false" customHeight="false" outlineLevel="0" collapsed="false"/>
    <row r="264" customFormat="false" ht="15.75" hidden="false" customHeight="false" outlineLevel="0" collapsed="false"/>
    <row r="265" customFormat="false" ht="15.75" hidden="false" customHeight="false" outlineLevel="0" collapsed="false"/>
    <row r="266" customFormat="false" ht="15.75" hidden="false" customHeight="false" outlineLevel="0" collapsed="false"/>
    <row r="267" customFormat="false" ht="15.75" hidden="false" customHeight="false" outlineLevel="0" collapsed="false"/>
    <row r="268" customFormat="false" ht="15.75" hidden="false" customHeight="false" outlineLevel="0" collapsed="false"/>
    <row r="269" customFormat="false" ht="15.75" hidden="false" customHeight="false" outlineLevel="0" collapsed="false"/>
    <row r="270" customFormat="false" ht="15.75" hidden="false" customHeight="false" outlineLevel="0" collapsed="false"/>
    <row r="271" customFormat="false" ht="15.75" hidden="false" customHeight="false" outlineLevel="0" collapsed="false"/>
    <row r="272" customFormat="false" ht="15.75" hidden="false" customHeight="false" outlineLevel="0" collapsed="false"/>
    <row r="273" customFormat="false" ht="15.75" hidden="false" customHeight="false" outlineLevel="0" collapsed="false"/>
    <row r="274" customFormat="false" ht="15.75" hidden="false" customHeight="false" outlineLevel="0" collapsed="false"/>
    <row r="275" customFormat="false" ht="15.75" hidden="false" customHeight="false" outlineLevel="0" collapsed="false"/>
    <row r="276" customFormat="false" ht="15.75" hidden="false" customHeight="false" outlineLevel="0" collapsed="false"/>
    <row r="277" customFormat="false" ht="15.75" hidden="false" customHeight="false" outlineLevel="0" collapsed="false"/>
    <row r="278" customFormat="false" ht="15.75" hidden="false" customHeight="false" outlineLevel="0" collapsed="false"/>
    <row r="279" customFormat="false" ht="15.75" hidden="false" customHeight="false" outlineLevel="0" collapsed="false"/>
    <row r="280" customFormat="false" ht="15.75" hidden="false" customHeight="false" outlineLevel="0" collapsed="false"/>
    <row r="281" customFormat="false" ht="15.75" hidden="false" customHeight="false" outlineLevel="0" collapsed="false"/>
    <row r="282" customFormat="false" ht="15.75" hidden="false" customHeight="false" outlineLevel="0" collapsed="false"/>
    <row r="283" customFormat="false" ht="15.75" hidden="false" customHeight="false" outlineLevel="0" collapsed="false"/>
    <row r="284" customFormat="false" ht="15.75" hidden="false" customHeight="false" outlineLevel="0" collapsed="false"/>
    <row r="285" customFormat="false" ht="15.75" hidden="false" customHeight="false" outlineLevel="0" collapsed="false"/>
    <row r="286" customFormat="false" ht="15.75" hidden="false" customHeight="false" outlineLevel="0" collapsed="false"/>
    <row r="287" customFormat="false" ht="15.75" hidden="false" customHeight="false" outlineLevel="0" collapsed="false"/>
    <row r="288" customFormat="false" ht="15.75" hidden="false" customHeight="false" outlineLevel="0" collapsed="false"/>
    <row r="289" customFormat="false" ht="15.75" hidden="false" customHeight="false" outlineLevel="0" collapsed="false"/>
    <row r="290" customFormat="false" ht="15.75" hidden="false" customHeight="false" outlineLevel="0" collapsed="false"/>
    <row r="291" customFormat="false" ht="15.75" hidden="false" customHeight="false" outlineLevel="0" collapsed="false"/>
    <row r="292" customFormat="false" ht="15.75" hidden="false" customHeight="false" outlineLevel="0" collapsed="false"/>
    <row r="293" customFormat="false" ht="15.75" hidden="false" customHeight="false" outlineLevel="0" collapsed="false"/>
    <row r="294" customFormat="false" ht="15.75" hidden="false" customHeight="false" outlineLevel="0" collapsed="false"/>
    <row r="295" customFormat="false" ht="15.75" hidden="false" customHeight="false" outlineLevel="0" collapsed="false"/>
    <row r="296" customFormat="false" ht="15.75" hidden="false" customHeight="false" outlineLevel="0" collapsed="false"/>
    <row r="297" customFormat="false" ht="15.75" hidden="false" customHeight="false" outlineLevel="0" collapsed="false"/>
    <row r="298" customFormat="false" ht="15.75" hidden="false" customHeight="false" outlineLevel="0" collapsed="false"/>
    <row r="299" customFormat="false" ht="15.75" hidden="false" customHeight="false" outlineLevel="0" collapsed="false"/>
    <row r="300" customFormat="false" ht="15.75" hidden="false" customHeight="false" outlineLevel="0" collapsed="false"/>
    <row r="301" customFormat="false" ht="15.75" hidden="false" customHeight="false" outlineLevel="0" collapsed="false"/>
    <row r="302" customFormat="false" ht="15.75" hidden="false" customHeight="false" outlineLevel="0" collapsed="false"/>
    <row r="303" customFormat="false" ht="15.75" hidden="false" customHeight="false" outlineLevel="0" collapsed="false"/>
    <row r="304" customFormat="false" ht="15.75" hidden="false" customHeight="false" outlineLevel="0" collapsed="false"/>
    <row r="305" customFormat="false" ht="15.75" hidden="false" customHeight="false" outlineLevel="0" collapsed="false"/>
    <row r="306" customFormat="false" ht="15.75" hidden="false" customHeight="false" outlineLevel="0" collapsed="false"/>
    <row r="307" customFormat="false" ht="15.75" hidden="false" customHeight="false" outlineLevel="0" collapsed="false"/>
    <row r="308" customFormat="false" ht="15.75" hidden="false" customHeight="false" outlineLevel="0" collapsed="false"/>
    <row r="309" customFormat="false" ht="15.75" hidden="false" customHeight="false" outlineLevel="0" collapsed="false"/>
    <row r="310" customFormat="false" ht="15.75" hidden="false" customHeight="false" outlineLevel="0" collapsed="false"/>
    <row r="311" customFormat="false" ht="15.75" hidden="false" customHeight="false" outlineLevel="0" collapsed="false"/>
    <row r="312" customFormat="false" ht="15.75" hidden="false" customHeight="false" outlineLevel="0" collapsed="false"/>
    <row r="313" customFormat="false" ht="15.75" hidden="false" customHeight="false" outlineLevel="0" collapsed="false"/>
    <row r="314" customFormat="false" ht="15.75" hidden="false" customHeight="false" outlineLevel="0" collapsed="false"/>
    <row r="315" customFormat="false" ht="15.75" hidden="false" customHeight="false" outlineLevel="0" collapsed="false"/>
    <row r="316" customFormat="false" ht="15.75" hidden="false" customHeight="false" outlineLevel="0" collapsed="false"/>
    <row r="317" customFormat="false" ht="15.75" hidden="false" customHeight="false" outlineLevel="0" collapsed="false"/>
    <row r="318" customFormat="false" ht="15.75" hidden="false" customHeight="false" outlineLevel="0" collapsed="false"/>
    <row r="319" customFormat="false" ht="15.75" hidden="false" customHeight="false" outlineLevel="0" collapsed="false"/>
    <row r="320" customFormat="false" ht="15.75" hidden="false" customHeight="false" outlineLevel="0" collapsed="false"/>
    <row r="321" customFormat="false" ht="15.75" hidden="false" customHeight="false" outlineLevel="0" collapsed="false"/>
    <row r="322" customFormat="false" ht="15.75" hidden="false" customHeight="false" outlineLevel="0" collapsed="false"/>
    <row r="323" customFormat="false" ht="15.75" hidden="false" customHeight="false" outlineLevel="0" collapsed="false"/>
    <row r="324" customFormat="false" ht="15.75" hidden="false" customHeight="false" outlineLevel="0" collapsed="false"/>
    <row r="325" customFormat="false" ht="15.75" hidden="false" customHeight="false" outlineLevel="0" collapsed="false"/>
    <row r="326" customFormat="false" ht="15.75" hidden="false" customHeight="false" outlineLevel="0" collapsed="false"/>
    <row r="327" customFormat="false" ht="15.75" hidden="false" customHeight="false" outlineLevel="0" collapsed="false"/>
    <row r="328" customFormat="false" ht="15.75" hidden="false" customHeight="false" outlineLevel="0" collapsed="false"/>
    <row r="329" customFormat="false" ht="15.75" hidden="false" customHeight="false" outlineLevel="0" collapsed="false"/>
    <row r="330" customFormat="false" ht="15.75" hidden="false" customHeight="false" outlineLevel="0" collapsed="false"/>
    <row r="331" customFormat="false" ht="15.75" hidden="false" customHeight="false" outlineLevel="0" collapsed="false"/>
    <row r="332" customFormat="false" ht="15.75" hidden="false" customHeight="false" outlineLevel="0" collapsed="false"/>
    <row r="333" customFormat="false" ht="15.75" hidden="false" customHeight="false" outlineLevel="0" collapsed="false"/>
    <row r="334" customFormat="false" ht="15.75" hidden="false" customHeight="false" outlineLevel="0" collapsed="false"/>
    <row r="335" customFormat="false" ht="15.75" hidden="false" customHeight="false" outlineLevel="0" collapsed="false"/>
    <row r="336" customFormat="false" ht="15.75" hidden="false" customHeight="false" outlineLevel="0" collapsed="false"/>
    <row r="337" customFormat="false" ht="15.75" hidden="false" customHeight="false" outlineLevel="0" collapsed="false"/>
    <row r="338" customFormat="false" ht="15.75" hidden="false" customHeight="false" outlineLevel="0" collapsed="false"/>
    <row r="339" customFormat="false" ht="15.75" hidden="false" customHeight="false" outlineLevel="0" collapsed="false"/>
    <row r="340" customFormat="false" ht="15.75" hidden="false" customHeight="false" outlineLevel="0" collapsed="false"/>
    <row r="341" customFormat="false" ht="15.75" hidden="false" customHeight="false" outlineLevel="0" collapsed="false"/>
    <row r="342" customFormat="false" ht="15.75" hidden="false" customHeight="false" outlineLevel="0" collapsed="false"/>
    <row r="343" customFormat="false" ht="15.75" hidden="false" customHeight="false" outlineLevel="0" collapsed="false"/>
    <row r="344" customFormat="false" ht="15.75" hidden="false" customHeight="false" outlineLevel="0" collapsed="false"/>
    <row r="345" customFormat="false" ht="15.75" hidden="false" customHeight="false" outlineLevel="0" collapsed="false"/>
    <row r="346" customFormat="false" ht="15.75" hidden="false" customHeight="false" outlineLevel="0" collapsed="false"/>
    <row r="347" customFormat="false" ht="15.75" hidden="false" customHeight="false" outlineLevel="0" collapsed="false"/>
    <row r="348" customFormat="false" ht="15.75" hidden="false" customHeight="false" outlineLevel="0" collapsed="false"/>
    <row r="349" customFormat="false" ht="15.75" hidden="false" customHeight="false" outlineLevel="0" collapsed="false"/>
    <row r="350" customFormat="false" ht="15.75" hidden="false" customHeight="false" outlineLevel="0" collapsed="false"/>
    <row r="351" customFormat="false" ht="15.75" hidden="false" customHeight="false" outlineLevel="0" collapsed="false"/>
    <row r="352" customFormat="false" ht="15.75" hidden="false" customHeight="false" outlineLevel="0" collapsed="false"/>
    <row r="353" customFormat="false" ht="15.75" hidden="false" customHeight="false" outlineLevel="0" collapsed="false"/>
    <row r="354" customFormat="false" ht="15.75" hidden="false" customHeight="false" outlineLevel="0" collapsed="false"/>
    <row r="355" customFormat="false" ht="15.75" hidden="false" customHeight="false" outlineLevel="0" collapsed="false"/>
    <row r="356" customFormat="false" ht="15.75" hidden="false" customHeight="false" outlineLevel="0" collapsed="false"/>
    <row r="357" customFormat="false" ht="15.75" hidden="false" customHeight="false" outlineLevel="0" collapsed="false"/>
    <row r="358" customFormat="false" ht="15.75" hidden="false" customHeight="false" outlineLevel="0" collapsed="false"/>
    <row r="359" customFormat="false" ht="15.75" hidden="false" customHeight="false" outlineLevel="0" collapsed="false"/>
    <row r="360" customFormat="false" ht="15.75" hidden="false" customHeight="false" outlineLevel="0" collapsed="false"/>
    <row r="361" customFormat="false" ht="15.75" hidden="false" customHeight="false" outlineLevel="0" collapsed="false"/>
    <row r="362" customFormat="false" ht="15.75" hidden="false" customHeight="false" outlineLevel="0" collapsed="false"/>
    <row r="363" customFormat="false" ht="15.75" hidden="false" customHeight="false" outlineLevel="0" collapsed="false"/>
    <row r="364" customFormat="false" ht="15.75" hidden="false" customHeight="false" outlineLevel="0" collapsed="false"/>
    <row r="365" customFormat="false" ht="15.75" hidden="false" customHeight="false" outlineLevel="0" collapsed="false"/>
    <row r="366" customFormat="false" ht="15.75" hidden="false" customHeight="false" outlineLevel="0" collapsed="false"/>
    <row r="367" customFormat="false" ht="15.75" hidden="false" customHeight="false" outlineLevel="0" collapsed="false"/>
    <row r="368" customFormat="false" ht="15.75" hidden="false" customHeight="false" outlineLevel="0" collapsed="false"/>
    <row r="369" customFormat="false" ht="15.75" hidden="false" customHeight="false" outlineLevel="0" collapsed="false"/>
    <row r="370" customFormat="false" ht="15.75" hidden="false" customHeight="false" outlineLevel="0" collapsed="false"/>
    <row r="371" customFormat="false" ht="15.75" hidden="false" customHeight="false" outlineLevel="0" collapsed="false"/>
    <row r="372" customFormat="false" ht="15.75" hidden="false" customHeight="false" outlineLevel="0" collapsed="false"/>
    <row r="373" customFormat="false" ht="15.75" hidden="false" customHeight="false" outlineLevel="0" collapsed="false"/>
    <row r="374" customFormat="false" ht="15.75" hidden="false" customHeight="false" outlineLevel="0" collapsed="false"/>
    <row r="375" customFormat="false" ht="15.75" hidden="false" customHeight="false" outlineLevel="0" collapsed="false"/>
    <row r="376" customFormat="false" ht="15.75" hidden="false" customHeight="false" outlineLevel="0" collapsed="false"/>
    <row r="377" customFormat="false" ht="15.75" hidden="false" customHeight="false" outlineLevel="0" collapsed="false"/>
    <row r="378" customFormat="false" ht="15.75" hidden="false" customHeight="false" outlineLevel="0" collapsed="false"/>
    <row r="379" customFormat="false" ht="15.75" hidden="false" customHeight="false" outlineLevel="0" collapsed="false"/>
    <row r="380" customFormat="false" ht="15.75" hidden="false" customHeight="false" outlineLevel="0" collapsed="false"/>
    <row r="381" customFormat="false" ht="15.75" hidden="false" customHeight="false" outlineLevel="0" collapsed="false"/>
    <row r="382" customFormat="false" ht="15.75" hidden="false" customHeight="false" outlineLevel="0" collapsed="false"/>
    <row r="383" customFormat="false" ht="15.75" hidden="false" customHeight="false" outlineLevel="0" collapsed="false"/>
    <row r="384" customFormat="false" ht="15.75" hidden="false" customHeight="false" outlineLevel="0" collapsed="false"/>
    <row r="385" customFormat="false" ht="15.75" hidden="false" customHeight="false" outlineLevel="0" collapsed="false"/>
    <row r="386" customFormat="false" ht="15.75" hidden="false" customHeight="false" outlineLevel="0" collapsed="false"/>
    <row r="387" customFormat="false" ht="15.75" hidden="false" customHeight="false" outlineLevel="0" collapsed="false"/>
    <row r="388" customFormat="false" ht="15.75" hidden="false" customHeight="false" outlineLevel="0" collapsed="false"/>
    <row r="389" customFormat="false" ht="15.75" hidden="false" customHeight="false" outlineLevel="0" collapsed="false"/>
    <row r="390" customFormat="false" ht="15.75" hidden="false" customHeight="false" outlineLevel="0" collapsed="false"/>
    <row r="391" customFormat="false" ht="15.75" hidden="false" customHeight="false" outlineLevel="0" collapsed="false"/>
    <row r="392" customFormat="false" ht="15.75" hidden="false" customHeight="false" outlineLevel="0" collapsed="false"/>
    <row r="393" customFormat="false" ht="15.75" hidden="false" customHeight="false" outlineLevel="0" collapsed="false"/>
    <row r="394" customFormat="false" ht="15.75" hidden="false" customHeight="false" outlineLevel="0" collapsed="false"/>
    <row r="395" customFormat="false" ht="15.75" hidden="false" customHeight="false" outlineLevel="0" collapsed="false"/>
    <row r="396" customFormat="false" ht="15.75" hidden="false" customHeight="false" outlineLevel="0" collapsed="false"/>
    <row r="397" customFormat="false" ht="15.75" hidden="false" customHeight="false" outlineLevel="0" collapsed="false"/>
    <row r="398" customFormat="false" ht="15.75" hidden="false" customHeight="false" outlineLevel="0" collapsed="false"/>
    <row r="399" customFormat="false" ht="15.75" hidden="false" customHeight="false" outlineLevel="0" collapsed="false"/>
    <row r="400" customFormat="false" ht="15.75" hidden="false" customHeight="false" outlineLevel="0" collapsed="false"/>
    <row r="401" customFormat="false" ht="15.75" hidden="false" customHeight="false" outlineLevel="0" collapsed="false"/>
    <row r="402" customFormat="false" ht="15.75" hidden="false" customHeight="false" outlineLevel="0" collapsed="false"/>
    <row r="403" customFormat="false" ht="15.75" hidden="false" customHeight="false" outlineLevel="0" collapsed="false"/>
    <row r="404" customFormat="false" ht="15.75" hidden="false" customHeight="false" outlineLevel="0" collapsed="false"/>
    <row r="405" customFormat="false" ht="15.75" hidden="false" customHeight="false" outlineLevel="0" collapsed="false"/>
    <row r="406" customFormat="false" ht="15.75" hidden="false" customHeight="false" outlineLevel="0" collapsed="false"/>
    <row r="407" customFormat="false" ht="15.75" hidden="false" customHeight="false" outlineLevel="0" collapsed="false"/>
    <row r="408" customFormat="false" ht="15.75" hidden="false" customHeight="false" outlineLevel="0" collapsed="false"/>
    <row r="409" customFormat="false" ht="15.75" hidden="false" customHeight="false" outlineLevel="0" collapsed="false"/>
    <row r="410" customFormat="false" ht="15.75" hidden="false" customHeight="false" outlineLevel="0" collapsed="false"/>
    <row r="411" customFormat="false" ht="15.75" hidden="false" customHeight="false" outlineLevel="0" collapsed="false"/>
    <row r="412" customFormat="false" ht="15.75" hidden="false" customHeight="false" outlineLevel="0" collapsed="false"/>
    <row r="413" customFormat="false" ht="15.75" hidden="false" customHeight="false" outlineLevel="0" collapsed="false"/>
    <row r="414" customFormat="false" ht="15.75" hidden="false" customHeight="false" outlineLevel="0" collapsed="false"/>
    <row r="415" customFormat="false" ht="15.75" hidden="false" customHeight="false" outlineLevel="0" collapsed="false"/>
    <row r="416" customFormat="false" ht="15.75" hidden="false" customHeight="false" outlineLevel="0" collapsed="false"/>
    <row r="417" customFormat="false" ht="15.75" hidden="false" customHeight="false" outlineLevel="0" collapsed="false"/>
    <row r="418" customFormat="false" ht="15.75" hidden="false" customHeight="false" outlineLevel="0" collapsed="false"/>
    <row r="419" customFormat="false" ht="15.75" hidden="false" customHeight="false" outlineLevel="0" collapsed="false"/>
    <row r="420" customFormat="false" ht="15.75" hidden="false" customHeight="false" outlineLevel="0" collapsed="false"/>
    <row r="421" customFormat="false" ht="15.75" hidden="false" customHeight="false" outlineLevel="0" collapsed="false"/>
    <row r="422" customFormat="false" ht="15.75" hidden="false" customHeight="false" outlineLevel="0" collapsed="false"/>
    <row r="423" customFormat="false" ht="15.75" hidden="false" customHeight="false" outlineLevel="0" collapsed="false"/>
    <row r="424" customFormat="false" ht="15.75" hidden="false" customHeight="false" outlineLevel="0" collapsed="false"/>
    <row r="425" customFormat="false" ht="15.75" hidden="false" customHeight="false" outlineLevel="0" collapsed="false"/>
    <row r="426" customFormat="false" ht="15.75" hidden="false" customHeight="false" outlineLevel="0" collapsed="false"/>
    <row r="427" customFormat="false" ht="15.75" hidden="false" customHeight="false" outlineLevel="0" collapsed="false"/>
    <row r="428" customFormat="false" ht="15.75" hidden="false" customHeight="false" outlineLevel="0" collapsed="false"/>
    <row r="429" customFormat="false" ht="15.75" hidden="false" customHeight="false" outlineLevel="0" collapsed="false"/>
    <row r="430" customFormat="false" ht="15.75" hidden="false" customHeight="false" outlineLevel="0" collapsed="false"/>
    <row r="431" customFormat="false" ht="15.75" hidden="false" customHeight="false" outlineLevel="0" collapsed="false"/>
    <row r="432" customFormat="false" ht="15.75" hidden="false" customHeight="false" outlineLevel="0" collapsed="false"/>
    <row r="433" customFormat="false" ht="15.75" hidden="false" customHeight="false" outlineLevel="0" collapsed="false"/>
    <row r="434" customFormat="false" ht="15.75" hidden="false" customHeight="false" outlineLevel="0" collapsed="false"/>
    <row r="435" customFormat="false" ht="15.75" hidden="false" customHeight="false" outlineLevel="0" collapsed="false"/>
    <row r="436" customFormat="false" ht="15.75" hidden="false" customHeight="false" outlineLevel="0" collapsed="false"/>
    <row r="437" customFormat="false" ht="15.75" hidden="false" customHeight="false" outlineLevel="0" collapsed="false"/>
    <row r="438" customFormat="false" ht="15.75" hidden="false" customHeight="false" outlineLevel="0" collapsed="false"/>
    <row r="439" customFormat="false" ht="15.75" hidden="false" customHeight="false" outlineLevel="0" collapsed="false"/>
    <row r="440" customFormat="false" ht="15.75" hidden="false" customHeight="false" outlineLevel="0" collapsed="false"/>
    <row r="441" customFormat="false" ht="15.75" hidden="false" customHeight="false" outlineLevel="0" collapsed="false"/>
    <row r="442" customFormat="false" ht="15.75" hidden="false" customHeight="false" outlineLevel="0" collapsed="false"/>
    <row r="443" customFormat="false" ht="15.75" hidden="false" customHeight="false" outlineLevel="0" collapsed="false"/>
    <row r="444" customFormat="false" ht="15.75" hidden="false" customHeight="false" outlineLevel="0" collapsed="false"/>
    <row r="445" customFormat="false" ht="15.75" hidden="false" customHeight="false" outlineLevel="0" collapsed="false"/>
    <row r="446" customFormat="false" ht="15.75" hidden="false" customHeight="false" outlineLevel="0" collapsed="false"/>
    <row r="447" customFormat="false" ht="15.75" hidden="false" customHeight="false" outlineLevel="0" collapsed="false"/>
    <row r="448" customFormat="false" ht="15.75" hidden="false" customHeight="false" outlineLevel="0" collapsed="false"/>
    <row r="449" customFormat="false" ht="15.75" hidden="false" customHeight="false" outlineLevel="0" collapsed="false"/>
    <row r="450" customFormat="false" ht="15.75" hidden="false" customHeight="false" outlineLevel="0" collapsed="false"/>
    <row r="451" customFormat="false" ht="15.75" hidden="false" customHeight="false" outlineLevel="0" collapsed="false"/>
    <row r="452" customFormat="false" ht="15.75" hidden="false" customHeight="false" outlineLevel="0" collapsed="false"/>
    <row r="453" customFormat="false" ht="15.75" hidden="false" customHeight="false" outlineLevel="0" collapsed="false"/>
    <row r="454" customFormat="false" ht="15.75" hidden="false" customHeight="false" outlineLevel="0" collapsed="false"/>
    <row r="455" customFormat="false" ht="15.75" hidden="false" customHeight="false" outlineLevel="0" collapsed="false"/>
    <row r="456" customFormat="false" ht="15.75" hidden="false" customHeight="false" outlineLevel="0" collapsed="false"/>
    <row r="457" customFormat="false" ht="15.75" hidden="false" customHeight="false" outlineLevel="0" collapsed="false"/>
    <row r="458" customFormat="false" ht="15.75" hidden="false" customHeight="false" outlineLevel="0" collapsed="false"/>
    <row r="459" customFormat="false" ht="15.75" hidden="false" customHeight="false" outlineLevel="0" collapsed="false"/>
    <row r="460" customFormat="false" ht="15.75" hidden="false" customHeight="false" outlineLevel="0" collapsed="false"/>
    <row r="461" customFormat="false" ht="15.75" hidden="false" customHeight="false" outlineLevel="0" collapsed="false"/>
    <row r="462" customFormat="false" ht="15.75" hidden="false" customHeight="false" outlineLevel="0" collapsed="false"/>
    <row r="463" customFormat="false" ht="15.75" hidden="false" customHeight="false" outlineLevel="0" collapsed="false"/>
    <row r="464" customFormat="false" ht="15.75" hidden="false" customHeight="false" outlineLevel="0" collapsed="false"/>
    <row r="465" customFormat="false" ht="15.75" hidden="false" customHeight="false" outlineLevel="0" collapsed="false"/>
    <row r="466" customFormat="false" ht="15.75" hidden="false" customHeight="false" outlineLevel="0" collapsed="false"/>
    <row r="467" customFormat="false" ht="15.75" hidden="false" customHeight="false" outlineLevel="0" collapsed="false"/>
    <row r="468" customFormat="false" ht="15.75" hidden="false" customHeight="false" outlineLevel="0" collapsed="false"/>
    <row r="469" customFormat="false" ht="15.75" hidden="false" customHeight="false" outlineLevel="0" collapsed="false"/>
    <row r="470" customFormat="false" ht="15.75" hidden="false" customHeight="false" outlineLevel="0" collapsed="false"/>
    <row r="471" customFormat="false" ht="15.75" hidden="false" customHeight="false" outlineLevel="0" collapsed="false"/>
    <row r="472" customFormat="false" ht="15.75" hidden="false" customHeight="false" outlineLevel="0" collapsed="false"/>
    <row r="473" customFormat="false" ht="15.75" hidden="false" customHeight="false" outlineLevel="0" collapsed="false"/>
    <row r="474" customFormat="false" ht="15.75" hidden="false" customHeight="false" outlineLevel="0" collapsed="false"/>
    <row r="475" customFormat="false" ht="15.75" hidden="false" customHeight="false" outlineLevel="0" collapsed="false"/>
    <row r="476" customFormat="false" ht="15.75" hidden="false" customHeight="false" outlineLevel="0" collapsed="false"/>
    <row r="477" customFormat="false" ht="15.75" hidden="false" customHeight="false" outlineLevel="0" collapsed="false"/>
    <row r="478" customFormat="false" ht="15.75" hidden="false" customHeight="false" outlineLevel="0" collapsed="false"/>
    <row r="479" customFormat="false" ht="15.75" hidden="false" customHeight="false" outlineLevel="0" collapsed="false"/>
    <row r="480" customFormat="false" ht="15.75" hidden="false" customHeight="false" outlineLevel="0" collapsed="false"/>
    <row r="481" customFormat="false" ht="15.75" hidden="false" customHeight="false" outlineLevel="0" collapsed="false"/>
    <row r="482" customFormat="false" ht="15.75" hidden="false" customHeight="false" outlineLevel="0" collapsed="false"/>
    <row r="483" customFormat="false" ht="15.75" hidden="false" customHeight="false" outlineLevel="0" collapsed="false"/>
    <row r="484" customFormat="false" ht="15.75" hidden="false" customHeight="false" outlineLevel="0" collapsed="false"/>
    <row r="485" customFormat="false" ht="15.75" hidden="false" customHeight="false" outlineLevel="0" collapsed="false"/>
    <row r="486" customFormat="false" ht="15.75" hidden="false" customHeight="false" outlineLevel="0" collapsed="false"/>
    <row r="487" customFormat="false" ht="15.75" hidden="false" customHeight="false" outlineLevel="0" collapsed="false"/>
    <row r="488" customFormat="false" ht="15.75" hidden="false" customHeight="false" outlineLevel="0" collapsed="false"/>
    <row r="489" customFormat="false" ht="15.75" hidden="false" customHeight="false" outlineLevel="0" collapsed="false"/>
    <row r="490" customFormat="false" ht="15.75" hidden="false" customHeight="false" outlineLevel="0" collapsed="false"/>
    <row r="491" customFormat="false" ht="15.75" hidden="false" customHeight="false" outlineLevel="0" collapsed="false"/>
    <row r="492" customFormat="false" ht="15.75" hidden="false" customHeight="false" outlineLevel="0" collapsed="false"/>
    <row r="493" customFormat="false" ht="15.75" hidden="false" customHeight="false" outlineLevel="0" collapsed="false"/>
    <row r="494" customFormat="false" ht="15.75" hidden="false" customHeight="false" outlineLevel="0" collapsed="false"/>
    <row r="495" customFormat="false" ht="15.75" hidden="false" customHeight="false" outlineLevel="0" collapsed="false"/>
    <row r="496" customFormat="false" ht="15.75" hidden="false" customHeight="false" outlineLevel="0" collapsed="false"/>
    <row r="497" customFormat="false" ht="15.75" hidden="false" customHeight="false" outlineLevel="0" collapsed="false"/>
    <row r="498" customFormat="false" ht="15.75" hidden="false" customHeight="false" outlineLevel="0" collapsed="false"/>
    <row r="499" customFormat="false" ht="15.75" hidden="false" customHeight="false" outlineLevel="0" collapsed="false"/>
    <row r="500" customFormat="false" ht="15.75" hidden="false" customHeight="false" outlineLevel="0" collapsed="false"/>
    <row r="501" customFormat="false" ht="15.75" hidden="false" customHeight="false" outlineLevel="0" collapsed="false"/>
    <row r="502" customFormat="false" ht="15.75" hidden="false" customHeight="false" outlineLevel="0" collapsed="false"/>
    <row r="503" customFormat="false" ht="15.75" hidden="false" customHeight="false" outlineLevel="0" collapsed="false"/>
    <row r="504" customFormat="false" ht="15.75" hidden="false" customHeight="false" outlineLevel="0" collapsed="false"/>
    <row r="505" customFormat="false" ht="15.75" hidden="false" customHeight="false" outlineLevel="0" collapsed="false"/>
    <row r="506" customFormat="false" ht="15.75" hidden="false" customHeight="false" outlineLevel="0" collapsed="false"/>
    <row r="507" customFormat="false" ht="15.75" hidden="false" customHeight="false" outlineLevel="0" collapsed="false"/>
    <row r="508" customFormat="false" ht="15.75" hidden="false" customHeight="false" outlineLevel="0" collapsed="false"/>
    <row r="509" customFormat="false" ht="15.75" hidden="false" customHeight="false" outlineLevel="0" collapsed="false"/>
    <row r="510" customFormat="false" ht="15.75" hidden="false" customHeight="false" outlineLevel="0" collapsed="false"/>
    <row r="511" customFormat="false" ht="15.75" hidden="false" customHeight="false" outlineLevel="0" collapsed="false"/>
    <row r="512" customFormat="false" ht="15.75" hidden="false" customHeight="false" outlineLevel="0" collapsed="false"/>
    <row r="513" customFormat="false" ht="15.75" hidden="false" customHeight="false" outlineLevel="0" collapsed="false"/>
    <row r="514" customFormat="false" ht="15.75" hidden="false" customHeight="false" outlineLevel="0" collapsed="false"/>
    <row r="515" customFormat="false" ht="15.75" hidden="false" customHeight="false" outlineLevel="0" collapsed="false"/>
    <row r="516" customFormat="false" ht="15.75" hidden="false" customHeight="false" outlineLevel="0" collapsed="false"/>
    <row r="517" customFormat="false" ht="15.75" hidden="false" customHeight="false" outlineLevel="0" collapsed="false"/>
    <row r="518" customFormat="false" ht="15.75" hidden="false" customHeight="false" outlineLevel="0" collapsed="false"/>
    <row r="519" customFormat="false" ht="15.75" hidden="false" customHeight="false" outlineLevel="0" collapsed="false"/>
    <row r="520" customFormat="false" ht="15.75" hidden="false" customHeight="false" outlineLevel="0" collapsed="false"/>
    <row r="521" customFormat="false" ht="15.75" hidden="false" customHeight="false" outlineLevel="0" collapsed="false"/>
    <row r="522" customFormat="false" ht="15.75" hidden="false" customHeight="false" outlineLevel="0" collapsed="false"/>
    <row r="523" customFormat="false" ht="15.75" hidden="false" customHeight="false" outlineLevel="0" collapsed="false"/>
    <row r="524" customFormat="false" ht="15.75" hidden="false" customHeight="false" outlineLevel="0" collapsed="false"/>
    <row r="525" customFormat="false" ht="15.75" hidden="false" customHeight="false" outlineLevel="0" collapsed="false"/>
    <row r="526" customFormat="false" ht="15.75" hidden="false" customHeight="false" outlineLevel="0" collapsed="false"/>
    <row r="527" customFormat="false" ht="15.75" hidden="false" customHeight="false" outlineLevel="0" collapsed="false"/>
    <row r="528" customFormat="false" ht="15.75" hidden="false" customHeight="false" outlineLevel="0" collapsed="false"/>
    <row r="529" customFormat="false" ht="15.75" hidden="false" customHeight="false" outlineLevel="0" collapsed="false"/>
    <row r="530" customFormat="false" ht="15.75" hidden="false" customHeight="false" outlineLevel="0" collapsed="false"/>
    <row r="531" customFormat="false" ht="15.75" hidden="false" customHeight="false" outlineLevel="0" collapsed="false"/>
    <row r="532" customFormat="false" ht="15.75" hidden="false" customHeight="false" outlineLevel="0" collapsed="false"/>
    <row r="533" customFormat="false" ht="15.75" hidden="false" customHeight="false" outlineLevel="0" collapsed="false"/>
    <row r="534" customFormat="false" ht="15.75" hidden="false" customHeight="false" outlineLevel="0" collapsed="false"/>
    <row r="535" customFormat="false" ht="15.75" hidden="false" customHeight="false" outlineLevel="0" collapsed="false"/>
    <row r="536" customFormat="false" ht="15.75" hidden="false" customHeight="false" outlineLevel="0" collapsed="false"/>
    <row r="537" customFormat="false" ht="15.75" hidden="false" customHeight="false" outlineLevel="0" collapsed="false"/>
    <row r="538" customFormat="false" ht="15.75" hidden="false" customHeight="false" outlineLevel="0" collapsed="false"/>
    <row r="539" customFormat="false" ht="15.75" hidden="false" customHeight="false" outlineLevel="0" collapsed="false"/>
    <row r="540" customFormat="false" ht="15.75" hidden="false" customHeight="false" outlineLevel="0" collapsed="false"/>
    <row r="541" customFormat="false" ht="15.75" hidden="false" customHeight="false" outlineLevel="0" collapsed="false"/>
    <row r="542" customFormat="false" ht="15.75" hidden="false" customHeight="false" outlineLevel="0" collapsed="false"/>
    <row r="543" customFormat="false" ht="15.75" hidden="false" customHeight="false" outlineLevel="0" collapsed="false"/>
    <row r="544" customFormat="false" ht="15.75" hidden="false" customHeight="false" outlineLevel="0" collapsed="false"/>
    <row r="545" customFormat="false" ht="15.75" hidden="false" customHeight="false" outlineLevel="0" collapsed="false"/>
    <row r="546" customFormat="false" ht="15.75" hidden="false" customHeight="false" outlineLevel="0" collapsed="false"/>
    <row r="547" customFormat="false" ht="15.75" hidden="false" customHeight="false" outlineLevel="0" collapsed="false"/>
    <row r="548" customFormat="false" ht="15.75" hidden="false" customHeight="false" outlineLevel="0" collapsed="false"/>
    <row r="549" customFormat="false" ht="15.75" hidden="false" customHeight="false" outlineLevel="0" collapsed="false"/>
    <row r="550" customFormat="false" ht="15.75" hidden="false" customHeight="false" outlineLevel="0" collapsed="false"/>
    <row r="551" customFormat="false" ht="15.75" hidden="false" customHeight="false" outlineLevel="0" collapsed="false"/>
    <row r="552" customFormat="false" ht="15.75" hidden="false" customHeight="false" outlineLevel="0" collapsed="false"/>
    <row r="553" customFormat="false" ht="15.75" hidden="false" customHeight="false" outlineLevel="0" collapsed="false"/>
    <row r="554" customFormat="false" ht="15.75" hidden="false" customHeight="false" outlineLevel="0" collapsed="false"/>
    <row r="555" customFormat="false" ht="15.75" hidden="false" customHeight="false" outlineLevel="0" collapsed="false"/>
    <row r="556" customFormat="false" ht="15.75" hidden="false" customHeight="false" outlineLevel="0" collapsed="false"/>
    <row r="557" customFormat="false" ht="15.75" hidden="false" customHeight="false" outlineLevel="0" collapsed="false"/>
    <row r="558" customFormat="false" ht="15.75" hidden="false" customHeight="false" outlineLevel="0" collapsed="false"/>
    <row r="559" customFormat="false" ht="15.75" hidden="false" customHeight="false" outlineLevel="0" collapsed="false"/>
    <row r="560" customFormat="false" ht="15.75" hidden="false" customHeight="false" outlineLevel="0" collapsed="false"/>
    <row r="561" customFormat="false" ht="15.75" hidden="false" customHeight="false" outlineLevel="0" collapsed="false"/>
    <row r="562" customFormat="false" ht="15.75" hidden="false" customHeight="false" outlineLevel="0" collapsed="false"/>
    <row r="563" customFormat="false" ht="15.75" hidden="false" customHeight="false" outlineLevel="0" collapsed="false"/>
    <row r="564" customFormat="false" ht="15.75" hidden="false" customHeight="false" outlineLevel="0" collapsed="false"/>
    <row r="565" customFormat="false" ht="15.75" hidden="false" customHeight="false" outlineLevel="0" collapsed="false"/>
    <row r="566" customFormat="false" ht="15.75" hidden="false" customHeight="false" outlineLevel="0" collapsed="false"/>
    <row r="567" customFormat="false" ht="15.75" hidden="false" customHeight="false" outlineLevel="0" collapsed="false"/>
    <row r="568" customFormat="false" ht="15.75" hidden="false" customHeight="false" outlineLevel="0" collapsed="false"/>
    <row r="569" customFormat="false" ht="15.75" hidden="false" customHeight="false" outlineLevel="0" collapsed="false"/>
    <row r="570" customFormat="false" ht="15.75" hidden="false" customHeight="false" outlineLevel="0" collapsed="false"/>
    <row r="571" customFormat="false" ht="15.75" hidden="false" customHeight="false" outlineLevel="0" collapsed="false"/>
    <row r="572" customFormat="false" ht="15.75" hidden="false" customHeight="false" outlineLevel="0" collapsed="false"/>
    <row r="573" customFormat="false" ht="15.75" hidden="false" customHeight="false" outlineLevel="0" collapsed="false"/>
    <row r="574" customFormat="false" ht="15.75" hidden="false" customHeight="false" outlineLevel="0" collapsed="false"/>
    <row r="575" customFormat="false" ht="15.75" hidden="false" customHeight="false" outlineLevel="0" collapsed="false"/>
    <row r="576" customFormat="false" ht="15.75" hidden="false" customHeight="false" outlineLevel="0" collapsed="false"/>
    <row r="577" customFormat="false" ht="15.75" hidden="false" customHeight="false" outlineLevel="0" collapsed="false"/>
    <row r="578" customFormat="false" ht="15.75" hidden="false" customHeight="false" outlineLevel="0" collapsed="false"/>
    <row r="579" customFormat="false" ht="15.75" hidden="false" customHeight="false" outlineLevel="0" collapsed="false"/>
    <row r="580" customFormat="false" ht="15.75" hidden="false" customHeight="false" outlineLevel="0" collapsed="false"/>
    <row r="581" customFormat="false" ht="15.75" hidden="false" customHeight="false" outlineLevel="0" collapsed="false"/>
    <row r="582" customFormat="false" ht="15.75" hidden="false" customHeight="false" outlineLevel="0" collapsed="false"/>
    <row r="583" customFormat="false" ht="15.75" hidden="false" customHeight="false" outlineLevel="0" collapsed="false"/>
    <row r="584" customFormat="false" ht="15.75" hidden="false" customHeight="false" outlineLevel="0" collapsed="false"/>
    <row r="585" customFormat="false" ht="15.75" hidden="false" customHeight="false" outlineLevel="0" collapsed="false"/>
    <row r="586" customFormat="false" ht="15.75" hidden="false" customHeight="false" outlineLevel="0" collapsed="false"/>
    <row r="587" customFormat="false" ht="15.75" hidden="false" customHeight="false" outlineLevel="0" collapsed="false"/>
    <row r="588" customFormat="false" ht="15.75" hidden="false" customHeight="false" outlineLevel="0" collapsed="false"/>
    <row r="589" customFormat="false" ht="15.75" hidden="false" customHeight="false" outlineLevel="0" collapsed="false"/>
    <row r="590" customFormat="false" ht="15.75" hidden="false" customHeight="false" outlineLevel="0" collapsed="false"/>
    <row r="591" customFormat="false" ht="15.75" hidden="false" customHeight="false" outlineLevel="0" collapsed="false"/>
    <row r="592" customFormat="false" ht="15.75" hidden="false" customHeight="false" outlineLevel="0" collapsed="false"/>
    <row r="593" customFormat="false" ht="15.75" hidden="false" customHeight="false" outlineLevel="0" collapsed="false"/>
    <row r="594" customFormat="false" ht="15.75" hidden="false" customHeight="false" outlineLevel="0" collapsed="false"/>
    <row r="595" customFormat="false" ht="15.75" hidden="false" customHeight="false" outlineLevel="0" collapsed="false"/>
    <row r="596" customFormat="false" ht="15.75" hidden="false" customHeight="false" outlineLevel="0" collapsed="false"/>
    <row r="597" customFormat="false" ht="15.75" hidden="false" customHeight="false" outlineLevel="0" collapsed="false"/>
    <row r="598" customFormat="false" ht="15.75" hidden="false" customHeight="false" outlineLevel="0" collapsed="false"/>
    <row r="599" customFormat="false" ht="15.75" hidden="false" customHeight="false" outlineLevel="0" collapsed="false"/>
    <row r="600" customFormat="false" ht="15.75" hidden="false" customHeight="false" outlineLevel="0" collapsed="false"/>
    <row r="601" customFormat="false" ht="15.75" hidden="false" customHeight="false" outlineLevel="0" collapsed="false"/>
    <row r="602" customFormat="false" ht="15.75" hidden="false" customHeight="false" outlineLevel="0" collapsed="false"/>
    <row r="603" customFormat="false" ht="15.75" hidden="false" customHeight="false" outlineLevel="0" collapsed="false"/>
    <row r="604" customFormat="false" ht="15.75" hidden="false" customHeight="false" outlineLevel="0" collapsed="false"/>
    <row r="605" customFormat="false" ht="15.75" hidden="false" customHeight="false" outlineLevel="0" collapsed="false"/>
    <row r="606" customFormat="false" ht="15.75" hidden="false" customHeight="false" outlineLevel="0" collapsed="false"/>
    <row r="607" customFormat="false" ht="15.75" hidden="false" customHeight="false" outlineLevel="0" collapsed="false"/>
    <row r="608" customFormat="false" ht="15.75" hidden="false" customHeight="false" outlineLevel="0" collapsed="false"/>
    <row r="609" customFormat="false" ht="15.75" hidden="false" customHeight="false" outlineLevel="0" collapsed="false"/>
    <row r="610" customFormat="false" ht="15.75" hidden="false" customHeight="false" outlineLevel="0" collapsed="false"/>
    <row r="611" customFormat="false" ht="15.75" hidden="false" customHeight="false" outlineLevel="0" collapsed="false"/>
    <row r="612" customFormat="false" ht="15.75" hidden="false" customHeight="false" outlineLevel="0" collapsed="false"/>
    <row r="613" customFormat="false" ht="15.75" hidden="false" customHeight="false" outlineLevel="0" collapsed="false"/>
    <row r="614" customFormat="false" ht="15.75" hidden="false" customHeight="false" outlineLevel="0" collapsed="false"/>
    <row r="615" customFormat="false" ht="15.75" hidden="false" customHeight="false" outlineLevel="0" collapsed="false"/>
    <row r="616" customFormat="false" ht="15.75" hidden="false" customHeight="false" outlineLevel="0" collapsed="false"/>
    <row r="617" customFormat="false" ht="15.75" hidden="false" customHeight="false" outlineLevel="0" collapsed="false"/>
    <row r="618" customFormat="false" ht="15.75" hidden="false" customHeight="false" outlineLevel="0" collapsed="false"/>
    <row r="619" customFormat="false" ht="15.75" hidden="false" customHeight="false" outlineLevel="0" collapsed="false"/>
    <row r="620" customFormat="false" ht="15.75" hidden="false" customHeight="false" outlineLevel="0" collapsed="false"/>
    <row r="621" customFormat="false" ht="15.75" hidden="false" customHeight="false" outlineLevel="0" collapsed="false"/>
    <row r="622" customFormat="false" ht="15.75" hidden="false" customHeight="false" outlineLevel="0" collapsed="false"/>
    <row r="623" customFormat="false" ht="15.75" hidden="false" customHeight="false" outlineLevel="0" collapsed="false"/>
    <row r="624" customFormat="false" ht="15.75" hidden="false" customHeight="false" outlineLevel="0" collapsed="false"/>
    <row r="625" customFormat="false" ht="15.75" hidden="false" customHeight="false" outlineLevel="0" collapsed="false"/>
    <row r="626" customFormat="false" ht="15.75" hidden="false" customHeight="false" outlineLevel="0" collapsed="false"/>
    <row r="627" customFormat="false" ht="15.75" hidden="false" customHeight="false" outlineLevel="0" collapsed="false"/>
    <row r="628" customFormat="false" ht="15.75" hidden="false" customHeight="false" outlineLevel="0" collapsed="false"/>
    <row r="629" customFormat="false" ht="15.75" hidden="false" customHeight="false" outlineLevel="0" collapsed="false"/>
    <row r="630" customFormat="false" ht="15.75" hidden="false" customHeight="false" outlineLevel="0" collapsed="false"/>
    <row r="631" customFormat="false" ht="15.75" hidden="false" customHeight="false" outlineLevel="0" collapsed="false"/>
    <row r="632" customFormat="false" ht="15.75" hidden="false" customHeight="false" outlineLevel="0" collapsed="false"/>
    <row r="633" customFormat="false" ht="15.75" hidden="false" customHeight="false" outlineLevel="0" collapsed="false"/>
    <row r="634" customFormat="false" ht="15.75" hidden="false" customHeight="false" outlineLevel="0" collapsed="false"/>
    <row r="635" customFormat="false" ht="15.75" hidden="false" customHeight="false" outlineLevel="0" collapsed="false"/>
    <row r="636" customFormat="false" ht="15.75" hidden="false" customHeight="false" outlineLevel="0" collapsed="false"/>
    <row r="637" customFormat="false" ht="15.75" hidden="false" customHeight="false" outlineLevel="0" collapsed="false"/>
    <row r="638" customFormat="false" ht="15.75" hidden="false" customHeight="false" outlineLevel="0" collapsed="false"/>
    <row r="639" customFormat="false" ht="15.75" hidden="false" customHeight="false" outlineLevel="0" collapsed="false"/>
    <row r="640" customFormat="false" ht="15.75" hidden="false" customHeight="false" outlineLevel="0" collapsed="false"/>
    <row r="641" customFormat="false" ht="15.75" hidden="false" customHeight="false" outlineLevel="0" collapsed="false"/>
    <row r="642" customFormat="false" ht="15.75" hidden="false" customHeight="false" outlineLevel="0" collapsed="false"/>
    <row r="643" customFormat="false" ht="15.75" hidden="false" customHeight="false" outlineLevel="0" collapsed="false"/>
    <row r="644" customFormat="false" ht="15.75" hidden="false" customHeight="false" outlineLevel="0" collapsed="false"/>
    <row r="645" customFormat="false" ht="15.75" hidden="false" customHeight="false" outlineLevel="0" collapsed="false"/>
    <row r="646" customFormat="false" ht="15.75" hidden="false" customHeight="false" outlineLevel="0" collapsed="false"/>
    <row r="647" customFormat="false" ht="15.75" hidden="false" customHeight="false" outlineLevel="0" collapsed="false"/>
    <row r="648" customFormat="false" ht="15.75" hidden="false" customHeight="false" outlineLevel="0" collapsed="false"/>
    <row r="649" customFormat="false" ht="15.75" hidden="false" customHeight="false" outlineLevel="0" collapsed="false"/>
    <row r="650" customFormat="false" ht="15.75" hidden="false" customHeight="false" outlineLevel="0" collapsed="false"/>
    <row r="651" customFormat="false" ht="15.75" hidden="false" customHeight="false" outlineLevel="0" collapsed="false"/>
    <row r="652" customFormat="false" ht="15.75" hidden="false" customHeight="false" outlineLevel="0" collapsed="false"/>
    <row r="653" customFormat="false" ht="15.75" hidden="false" customHeight="false" outlineLevel="0" collapsed="false"/>
    <row r="654" customFormat="false" ht="15.75" hidden="false" customHeight="false" outlineLevel="0" collapsed="false"/>
    <row r="655" customFormat="false" ht="15.75" hidden="false" customHeight="false" outlineLevel="0" collapsed="false"/>
    <row r="656" customFormat="false" ht="15.75" hidden="false" customHeight="false" outlineLevel="0" collapsed="false"/>
    <row r="657" customFormat="false" ht="15.75" hidden="false" customHeight="false" outlineLevel="0" collapsed="false"/>
    <row r="658" customFormat="false" ht="15.75" hidden="false" customHeight="false" outlineLevel="0" collapsed="false"/>
    <row r="659" customFormat="false" ht="15.75" hidden="false" customHeight="false" outlineLevel="0" collapsed="false"/>
    <row r="660" customFormat="false" ht="15.75" hidden="false" customHeight="false" outlineLevel="0" collapsed="false"/>
    <row r="661" customFormat="false" ht="15.75" hidden="false" customHeight="false" outlineLevel="0" collapsed="false"/>
    <row r="662" customFormat="false" ht="15.75" hidden="false" customHeight="false" outlineLevel="0" collapsed="false"/>
    <row r="663" customFormat="false" ht="15.75" hidden="false" customHeight="false" outlineLevel="0" collapsed="false"/>
    <row r="664" customFormat="false" ht="15.75" hidden="false" customHeight="false" outlineLevel="0" collapsed="false"/>
    <row r="665" customFormat="false" ht="15.75" hidden="false" customHeight="false" outlineLevel="0" collapsed="false"/>
    <row r="666" customFormat="false" ht="15.75" hidden="false" customHeight="false" outlineLevel="0" collapsed="false"/>
    <row r="667" customFormat="false" ht="15.75" hidden="false" customHeight="false" outlineLevel="0" collapsed="false"/>
    <row r="668" customFormat="false" ht="15.75" hidden="false" customHeight="false" outlineLevel="0" collapsed="false"/>
    <row r="669" customFormat="false" ht="15.75" hidden="false" customHeight="false" outlineLevel="0" collapsed="false"/>
    <row r="670" customFormat="false" ht="15.75" hidden="false" customHeight="false" outlineLevel="0" collapsed="false"/>
    <row r="671" customFormat="false" ht="15.75" hidden="false" customHeight="false" outlineLevel="0" collapsed="false"/>
    <row r="672" customFormat="false" ht="15.75" hidden="false" customHeight="false" outlineLevel="0" collapsed="false"/>
    <row r="673" customFormat="false" ht="15.75" hidden="false" customHeight="false" outlineLevel="0" collapsed="false"/>
    <row r="674" customFormat="false" ht="15.75" hidden="false" customHeight="false" outlineLevel="0" collapsed="false"/>
    <row r="675" customFormat="false" ht="15.75" hidden="false" customHeight="false" outlineLevel="0" collapsed="false"/>
    <row r="676" customFormat="false" ht="15.75" hidden="false" customHeight="false" outlineLevel="0" collapsed="false"/>
    <row r="677" customFormat="false" ht="15.75" hidden="false" customHeight="false" outlineLevel="0" collapsed="false"/>
    <row r="678" customFormat="false" ht="15.75" hidden="false" customHeight="false" outlineLevel="0" collapsed="false"/>
    <row r="679" customFormat="false" ht="15.75" hidden="false" customHeight="false" outlineLevel="0" collapsed="false"/>
    <row r="680" customFormat="false" ht="15.75" hidden="false" customHeight="false" outlineLevel="0" collapsed="false"/>
    <row r="681" customFormat="false" ht="15.75" hidden="false" customHeight="false" outlineLevel="0" collapsed="false"/>
    <row r="682" customFormat="false" ht="15.75" hidden="false" customHeight="false" outlineLevel="0" collapsed="false"/>
    <row r="683" customFormat="false" ht="15.75" hidden="false" customHeight="false" outlineLevel="0" collapsed="false"/>
    <row r="684" customFormat="false" ht="15.75" hidden="false" customHeight="false" outlineLevel="0" collapsed="false"/>
    <row r="685" customFormat="false" ht="15.75" hidden="false" customHeight="false" outlineLevel="0" collapsed="false"/>
    <row r="686" customFormat="false" ht="15.75" hidden="false" customHeight="false" outlineLevel="0" collapsed="false"/>
    <row r="687" customFormat="false" ht="15.75" hidden="false" customHeight="false" outlineLevel="0" collapsed="false"/>
    <row r="688" customFormat="false" ht="15.75" hidden="false" customHeight="false" outlineLevel="0" collapsed="false"/>
    <row r="689" customFormat="false" ht="15.75" hidden="false" customHeight="false" outlineLevel="0" collapsed="false"/>
    <row r="690" customFormat="false" ht="15.75" hidden="false" customHeight="false" outlineLevel="0" collapsed="false"/>
    <row r="691" customFormat="false" ht="15.75" hidden="false" customHeight="false" outlineLevel="0" collapsed="false"/>
    <row r="692" customFormat="false" ht="15.75" hidden="false" customHeight="false" outlineLevel="0" collapsed="false"/>
    <row r="693" customFormat="false" ht="15.75" hidden="false" customHeight="false" outlineLevel="0" collapsed="false"/>
    <row r="694" customFormat="false" ht="15.75" hidden="false" customHeight="false" outlineLevel="0" collapsed="false"/>
    <row r="695" customFormat="false" ht="15.75" hidden="false" customHeight="false" outlineLevel="0" collapsed="false"/>
    <row r="696" customFormat="false" ht="15.75" hidden="false" customHeight="false" outlineLevel="0" collapsed="false"/>
    <row r="697" customFormat="false" ht="15.75" hidden="false" customHeight="false" outlineLevel="0" collapsed="false"/>
    <row r="698" customFormat="false" ht="15.75" hidden="false" customHeight="false" outlineLevel="0" collapsed="false"/>
    <row r="699" customFormat="false" ht="15.75" hidden="false" customHeight="false" outlineLevel="0" collapsed="false"/>
    <row r="700" customFormat="false" ht="15.75" hidden="false" customHeight="false" outlineLevel="0" collapsed="false"/>
    <row r="701" customFormat="false" ht="15.75" hidden="false" customHeight="false" outlineLevel="0" collapsed="false"/>
    <row r="702" customFormat="false" ht="15.75" hidden="false" customHeight="false" outlineLevel="0" collapsed="false"/>
    <row r="703" customFormat="false" ht="15.75" hidden="false" customHeight="false" outlineLevel="0" collapsed="false"/>
    <row r="704" customFormat="false" ht="15.75" hidden="false" customHeight="false" outlineLevel="0" collapsed="false"/>
    <row r="705" customFormat="false" ht="15.75" hidden="false" customHeight="false" outlineLevel="0" collapsed="false"/>
    <row r="706" customFormat="false" ht="15.75" hidden="false" customHeight="false" outlineLevel="0" collapsed="false"/>
    <row r="707" customFormat="false" ht="15.75" hidden="false" customHeight="false" outlineLevel="0" collapsed="false"/>
    <row r="708" customFormat="false" ht="15.75" hidden="false" customHeight="false" outlineLevel="0" collapsed="false"/>
    <row r="709" customFormat="false" ht="15.75" hidden="false" customHeight="false" outlineLevel="0" collapsed="false"/>
    <row r="710" customFormat="false" ht="15.75" hidden="false" customHeight="false" outlineLevel="0" collapsed="false"/>
    <row r="711" customFormat="false" ht="15.75" hidden="false" customHeight="false" outlineLevel="0" collapsed="false"/>
    <row r="712" customFormat="false" ht="15.75" hidden="false" customHeight="false" outlineLevel="0" collapsed="false"/>
    <row r="713" customFormat="false" ht="15.75" hidden="false" customHeight="false" outlineLevel="0" collapsed="false"/>
    <row r="714" customFormat="false" ht="15.75" hidden="false" customHeight="false" outlineLevel="0" collapsed="false"/>
    <row r="715" customFormat="false" ht="15.75" hidden="false" customHeight="false" outlineLevel="0" collapsed="false"/>
    <row r="716" customFormat="false" ht="15.75" hidden="false" customHeight="false" outlineLevel="0" collapsed="false"/>
    <row r="717" customFormat="false" ht="15.75" hidden="false" customHeight="false" outlineLevel="0" collapsed="false"/>
    <row r="718" customFormat="false" ht="15.75" hidden="false" customHeight="false" outlineLevel="0" collapsed="false"/>
    <row r="719" customFormat="false" ht="15.75" hidden="false" customHeight="false" outlineLevel="0" collapsed="false"/>
    <row r="720" customFormat="false" ht="15.75" hidden="false" customHeight="false" outlineLevel="0" collapsed="false"/>
    <row r="721" customFormat="false" ht="15.75" hidden="false" customHeight="false" outlineLevel="0" collapsed="false"/>
    <row r="722" customFormat="false" ht="15.75" hidden="false" customHeight="false" outlineLevel="0" collapsed="false"/>
    <row r="723" customFormat="false" ht="15.75" hidden="false" customHeight="false" outlineLevel="0" collapsed="false"/>
    <row r="724" customFormat="false" ht="15.75" hidden="false" customHeight="false" outlineLevel="0" collapsed="false"/>
    <row r="725" customFormat="false" ht="15.75" hidden="false" customHeight="false" outlineLevel="0" collapsed="false"/>
    <row r="726" customFormat="false" ht="15.75" hidden="false" customHeight="false" outlineLevel="0" collapsed="false"/>
    <row r="727" customFormat="false" ht="15.75" hidden="false" customHeight="false" outlineLevel="0" collapsed="false"/>
    <row r="728" customFormat="false" ht="15.75" hidden="false" customHeight="false" outlineLevel="0" collapsed="false"/>
    <row r="729" customFormat="false" ht="15.75" hidden="false" customHeight="false" outlineLevel="0" collapsed="false"/>
    <row r="730" customFormat="false" ht="15.75" hidden="false" customHeight="false" outlineLevel="0" collapsed="false"/>
    <row r="731" customFormat="false" ht="15.75" hidden="false" customHeight="false" outlineLevel="0" collapsed="false"/>
    <row r="732" customFormat="false" ht="15.75" hidden="false" customHeight="false" outlineLevel="0" collapsed="false"/>
    <row r="733" customFormat="false" ht="15.75" hidden="false" customHeight="false" outlineLevel="0" collapsed="false"/>
    <row r="734" customFormat="false" ht="15.75" hidden="false" customHeight="false" outlineLevel="0" collapsed="false"/>
    <row r="735" customFormat="false" ht="15.75" hidden="false" customHeight="false" outlineLevel="0" collapsed="false"/>
    <row r="736" customFormat="false" ht="15.75" hidden="false" customHeight="false" outlineLevel="0" collapsed="false"/>
    <row r="737" customFormat="false" ht="15.75" hidden="false" customHeight="false" outlineLevel="0" collapsed="false"/>
    <row r="738" customFormat="false" ht="15.75" hidden="false" customHeight="false" outlineLevel="0" collapsed="false"/>
    <row r="739" customFormat="false" ht="15.75" hidden="false" customHeight="false" outlineLevel="0" collapsed="false"/>
    <row r="740" customFormat="false" ht="15.75" hidden="false" customHeight="false" outlineLevel="0" collapsed="false"/>
    <row r="741" customFormat="false" ht="15.75" hidden="false" customHeight="false" outlineLevel="0" collapsed="false"/>
    <row r="742" customFormat="false" ht="15.75" hidden="false" customHeight="false" outlineLevel="0" collapsed="false"/>
    <row r="743" customFormat="false" ht="15.75" hidden="false" customHeight="false" outlineLevel="0" collapsed="false"/>
    <row r="744" customFormat="false" ht="15.75" hidden="false" customHeight="false" outlineLevel="0" collapsed="false"/>
    <row r="745" customFormat="false" ht="15.75" hidden="false" customHeight="false" outlineLevel="0" collapsed="false"/>
    <row r="746" customFormat="false" ht="15.75" hidden="false" customHeight="false" outlineLevel="0" collapsed="false"/>
    <row r="747" customFormat="false" ht="15.75" hidden="false" customHeight="false" outlineLevel="0" collapsed="false"/>
    <row r="748" customFormat="false" ht="15.75" hidden="false" customHeight="false" outlineLevel="0" collapsed="false"/>
    <row r="749" customFormat="false" ht="15.75" hidden="false" customHeight="false" outlineLevel="0" collapsed="false"/>
    <row r="750" customFormat="false" ht="15.75" hidden="false" customHeight="false" outlineLevel="0" collapsed="false"/>
    <row r="751" customFormat="false" ht="15.75" hidden="false" customHeight="false" outlineLevel="0" collapsed="false"/>
    <row r="752" customFormat="false" ht="15.75" hidden="false" customHeight="false" outlineLevel="0" collapsed="false"/>
    <row r="753" customFormat="false" ht="15.75" hidden="false" customHeight="false" outlineLevel="0" collapsed="false"/>
    <row r="754" customFormat="false" ht="15.75" hidden="false" customHeight="false" outlineLevel="0" collapsed="false"/>
    <row r="755" customFormat="false" ht="15.75" hidden="false" customHeight="false" outlineLevel="0" collapsed="false"/>
    <row r="756" customFormat="false" ht="15.75" hidden="false" customHeight="false" outlineLevel="0" collapsed="false"/>
    <row r="757" customFormat="false" ht="15.75" hidden="false" customHeight="false" outlineLevel="0" collapsed="false"/>
    <row r="758" customFormat="false" ht="15.75" hidden="false" customHeight="false" outlineLevel="0" collapsed="false"/>
    <row r="759" customFormat="false" ht="15.75" hidden="false" customHeight="false" outlineLevel="0" collapsed="false"/>
    <row r="760" customFormat="false" ht="15.75" hidden="false" customHeight="false" outlineLevel="0" collapsed="false"/>
    <row r="761" customFormat="false" ht="15.75" hidden="false" customHeight="false" outlineLevel="0" collapsed="false"/>
    <row r="762" customFormat="false" ht="15.75" hidden="false" customHeight="false" outlineLevel="0" collapsed="false"/>
    <row r="763" customFormat="false" ht="15.75" hidden="false" customHeight="false" outlineLevel="0" collapsed="false"/>
    <row r="764" customFormat="false" ht="15.75" hidden="false" customHeight="false" outlineLevel="0" collapsed="false"/>
    <row r="765" customFormat="false" ht="15.75" hidden="false" customHeight="false" outlineLevel="0" collapsed="false"/>
    <row r="766" customFormat="false" ht="15.75" hidden="false" customHeight="false" outlineLevel="0" collapsed="false"/>
    <row r="767" customFormat="false" ht="15.75" hidden="false" customHeight="false" outlineLevel="0" collapsed="false"/>
    <row r="768" customFormat="false" ht="15.75" hidden="false" customHeight="false" outlineLevel="0" collapsed="false"/>
    <row r="769" customFormat="false" ht="15.75" hidden="false" customHeight="false" outlineLevel="0" collapsed="false"/>
    <row r="770" customFormat="false" ht="15.75" hidden="false" customHeight="false" outlineLevel="0" collapsed="false"/>
    <row r="771" customFormat="false" ht="15.75" hidden="false" customHeight="false" outlineLevel="0" collapsed="false"/>
    <row r="772" customFormat="false" ht="15.75" hidden="false" customHeight="false" outlineLevel="0" collapsed="false"/>
    <row r="773" customFormat="false" ht="15.75" hidden="false" customHeight="false" outlineLevel="0" collapsed="false"/>
    <row r="774" customFormat="false" ht="15.75" hidden="false" customHeight="false" outlineLevel="0" collapsed="false"/>
    <row r="775" customFormat="false" ht="15.75" hidden="false" customHeight="false" outlineLevel="0" collapsed="false"/>
    <row r="776" customFormat="false" ht="15.75" hidden="false" customHeight="false" outlineLevel="0" collapsed="false"/>
    <row r="777" customFormat="false" ht="15.75" hidden="false" customHeight="false" outlineLevel="0" collapsed="false"/>
    <row r="778" customFormat="false" ht="15.75" hidden="false" customHeight="false" outlineLevel="0" collapsed="false"/>
    <row r="779" customFormat="false" ht="15.75" hidden="false" customHeight="false" outlineLevel="0" collapsed="false"/>
    <row r="780" customFormat="false" ht="15.75" hidden="false" customHeight="false" outlineLevel="0" collapsed="false"/>
    <row r="781" customFormat="false" ht="15.75" hidden="false" customHeight="false" outlineLevel="0" collapsed="false"/>
    <row r="782" customFormat="false" ht="15.75" hidden="false" customHeight="false" outlineLevel="0" collapsed="false"/>
    <row r="783" customFormat="false" ht="15.75" hidden="false" customHeight="false" outlineLevel="0" collapsed="false"/>
    <row r="784" customFormat="false" ht="15.75" hidden="false" customHeight="false" outlineLevel="0" collapsed="false"/>
    <row r="785" customFormat="false" ht="15.75" hidden="false" customHeight="false" outlineLevel="0" collapsed="false"/>
    <row r="786" customFormat="false" ht="15.75" hidden="false" customHeight="false" outlineLevel="0" collapsed="false"/>
    <row r="787" customFormat="false" ht="15.75" hidden="false" customHeight="false" outlineLevel="0" collapsed="false"/>
    <row r="788" customFormat="false" ht="15.75" hidden="false" customHeight="false" outlineLevel="0" collapsed="false"/>
    <row r="789" customFormat="false" ht="15.75" hidden="false" customHeight="false" outlineLevel="0" collapsed="false"/>
    <row r="790" customFormat="false" ht="15.75" hidden="false" customHeight="false" outlineLevel="0" collapsed="false"/>
    <row r="791" customFormat="false" ht="15.75" hidden="false" customHeight="false" outlineLevel="0" collapsed="false"/>
    <row r="792" customFormat="false" ht="15.75" hidden="false" customHeight="false" outlineLevel="0" collapsed="false"/>
    <row r="793" customFormat="false" ht="15.75" hidden="false" customHeight="false" outlineLevel="0" collapsed="false"/>
    <row r="794" customFormat="false" ht="15.75" hidden="false" customHeight="false" outlineLevel="0" collapsed="false"/>
    <row r="795" customFormat="false" ht="15.75" hidden="false" customHeight="false" outlineLevel="0" collapsed="false"/>
    <row r="796" customFormat="false" ht="15.75" hidden="false" customHeight="false" outlineLevel="0" collapsed="false"/>
    <row r="797" customFormat="false" ht="15.75" hidden="false" customHeight="false" outlineLevel="0" collapsed="false"/>
    <row r="798" customFormat="false" ht="15.75" hidden="false" customHeight="false" outlineLevel="0" collapsed="false"/>
    <row r="799" customFormat="false" ht="15.75" hidden="false" customHeight="false" outlineLevel="0" collapsed="false"/>
    <row r="800" customFormat="false" ht="15.75" hidden="false" customHeight="false" outlineLevel="0" collapsed="false"/>
    <row r="801" customFormat="false" ht="15.75" hidden="false" customHeight="false" outlineLevel="0" collapsed="false"/>
    <row r="802" customFormat="false" ht="15.75" hidden="false" customHeight="false" outlineLevel="0" collapsed="false"/>
    <row r="803" customFormat="false" ht="15.75" hidden="false" customHeight="false" outlineLevel="0" collapsed="false"/>
    <row r="804" customFormat="false" ht="15.75" hidden="false" customHeight="false" outlineLevel="0" collapsed="false"/>
    <row r="805" customFormat="false" ht="15.75" hidden="false" customHeight="false" outlineLevel="0" collapsed="false"/>
    <row r="806" customFormat="false" ht="15.75" hidden="false" customHeight="false" outlineLevel="0" collapsed="false"/>
    <row r="807" customFormat="false" ht="15.75" hidden="false" customHeight="false" outlineLevel="0" collapsed="false"/>
    <row r="808" customFormat="false" ht="15.75" hidden="false" customHeight="false" outlineLevel="0" collapsed="false"/>
    <row r="809" customFormat="false" ht="15.75" hidden="false" customHeight="false" outlineLevel="0" collapsed="false"/>
    <row r="810" customFormat="false" ht="15.75" hidden="false" customHeight="false" outlineLevel="0" collapsed="false"/>
    <row r="811" customFormat="false" ht="15.75" hidden="false" customHeight="false" outlineLevel="0" collapsed="false"/>
    <row r="812" customFormat="false" ht="15.75" hidden="false" customHeight="false" outlineLevel="0" collapsed="false"/>
    <row r="813" customFormat="false" ht="15.75" hidden="false" customHeight="false" outlineLevel="0" collapsed="false"/>
    <row r="814" customFormat="false" ht="15.75" hidden="false" customHeight="false" outlineLevel="0" collapsed="false"/>
    <row r="815" customFormat="false" ht="15.75" hidden="false" customHeight="false" outlineLevel="0" collapsed="false"/>
    <row r="816" customFormat="false" ht="15.75" hidden="false" customHeight="false" outlineLevel="0" collapsed="false"/>
    <row r="817" customFormat="false" ht="15.75" hidden="false" customHeight="false" outlineLevel="0" collapsed="false"/>
    <row r="818" customFormat="false" ht="15.75" hidden="false" customHeight="false" outlineLevel="0" collapsed="false"/>
    <row r="819" customFormat="false" ht="15.75" hidden="false" customHeight="false" outlineLevel="0" collapsed="false"/>
    <row r="820" customFormat="false" ht="15.75" hidden="false" customHeight="false" outlineLevel="0" collapsed="false"/>
    <row r="821" customFormat="false" ht="15.75" hidden="false" customHeight="false" outlineLevel="0" collapsed="false"/>
    <row r="822" customFormat="false" ht="15.75" hidden="false" customHeight="false" outlineLevel="0" collapsed="false"/>
    <row r="823" customFormat="false" ht="15.75" hidden="false" customHeight="false" outlineLevel="0" collapsed="false"/>
    <row r="824" customFormat="false" ht="15.75" hidden="false" customHeight="false" outlineLevel="0" collapsed="false"/>
    <row r="825" customFormat="false" ht="15.75" hidden="false" customHeight="false" outlineLevel="0" collapsed="false"/>
    <row r="826" customFormat="false" ht="15.75" hidden="false" customHeight="false" outlineLevel="0" collapsed="false"/>
    <row r="827" customFormat="false" ht="15.75" hidden="false" customHeight="false" outlineLevel="0" collapsed="false"/>
    <row r="828" customFormat="false" ht="15.75" hidden="false" customHeight="false" outlineLevel="0" collapsed="false"/>
    <row r="829" customFormat="false" ht="15.75" hidden="false" customHeight="false" outlineLevel="0" collapsed="false"/>
    <row r="830" customFormat="false" ht="15.75" hidden="false" customHeight="false" outlineLevel="0" collapsed="false"/>
    <row r="831" customFormat="false" ht="15.75" hidden="false" customHeight="false" outlineLevel="0" collapsed="false"/>
    <row r="832" customFormat="false" ht="15.75" hidden="false" customHeight="false" outlineLevel="0" collapsed="false"/>
    <row r="833" customFormat="false" ht="15.75" hidden="false" customHeight="false" outlineLevel="0" collapsed="false"/>
    <row r="834" customFormat="false" ht="15.75" hidden="false" customHeight="false" outlineLevel="0" collapsed="false"/>
    <row r="835" customFormat="false" ht="15.75" hidden="false" customHeight="false" outlineLevel="0" collapsed="false"/>
    <row r="836" customFormat="false" ht="15.75" hidden="false" customHeight="false" outlineLevel="0" collapsed="false"/>
    <row r="837" customFormat="false" ht="15.75" hidden="false" customHeight="false" outlineLevel="0" collapsed="false"/>
    <row r="838" customFormat="false" ht="15.75" hidden="false" customHeight="false" outlineLevel="0" collapsed="false"/>
    <row r="839" customFormat="false" ht="15.75" hidden="false" customHeight="false" outlineLevel="0" collapsed="false"/>
    <row r="840" customFormat="false" ht="15.75" hidden="false" customHeight="false" outlineLevel="0" collapsed="false"/>
    <row r="841" customFormat="false" ht="15.75" hidden="false" customHeight="false" outlineLevel="0" collapsed="false"/>
    <row r="842" customFormat="false" ht="15.75" hidden="false" customHeight="false" outlineLevel="0" collapsed="false"/>
    <row r="843" customFormat="false" ht="15.75" hidden="false" customHeight="false" outlineLevel="0" collapsed="false"/>
    <row r="844" customFormat="false" ht="15.75" hidden="false" customHeight="false" outlineLevel="0" collapsed="false"/>
    <row r="845" customFormat="false" ht="15.75" hidden="false" customHeight="false" outlineLevel="0" collapsed="false"/>
    <row r="846" customFormat="false" ht="15.75" hidden="false" customHeight="false" outlineLevel="0" collapsed="false"/>
    <row r="847" customFormat="false" ht="15.75" hidden="false" customHeight="false" outlineLevel="0" collapsed="false"/>
    <row r="848" customFormat="false" ht="15.75" hidden="false" customHeight="false" outlineLevel="0" collapsed="false"/>
    <row r="849" customFormat="false" ht="15.75" hidden="false" customHeight="false" outlineLevel="0" collapsed="false"/>
    <row r="850" customFormat="false" ht="15.75" hidden="false" customHeight="false" outlineLevel="0" collapsed="false"/>
    <row r="851" customFormat="false" ht="15.75" hidden="false" customHeight="false" outlineLevel="0" collapsed="false"/>
    <row r="852" customFormat="false" ht="15.75" hidden="false" customHeight="false" outlineLevel="0" collapsed="false"/>
    <row r="853" customFormat="false" ht="15.75" hidden="false" customHeight="false" outlineLevel="0" collapsed="false"/>
    <row r="854" customFormat="false" ht="15.75" hidden="false" customHeight="false" outlineLevel="0" collapsed="false"/>
    <row r="855" customFormat="false" ht="15.75" hidden="false" customHeight="false" outlineLevel="0" collapsed="false"/>
    <row r="856" customFormat="false" ht="15.75" hidden="false" customHeight="false" outlineLevel="0" collapsed="false"/>
    <row r="857" customFormat="false" ht="15.75" hidden="false" customHeight="false" outlineLevel="0" collapsed="false"/>
    <row r="858" customFormat="false" ht="15.75" hidden="false" customHeight="false" outlineLevel="0" collapsed="false"/>
    <row r="859" customFormat="false" ht="15.75" hidden="false" customHeight="false" outlineLevel="0" collapsed="false"/>
    <row r="860" customFormat="false" ht="15.75" hidden="false" customHeight="false" outlineLevel="0" collapsed="false"/>
    <row r="861" customFormat="false" ht="15.75" hidden="false" customHeight="false" outlineLevel="0" collapsed="false"/>
    <row r="862" customFormat="false" ht="15.75" hidden="false" customHeight="false" outlineLevel="0" collapsed="false"/>
    <row r="863" customFormat="false" ht="15.75" hidden="false" customHeight="false" outlineLevel="0" collapsed="false"/>
    <row r="864" customFormat="false" ht="15.75" hidden="false" customHeight="false" outlineLevel="0" collapsed="false"/>
    <row r="865" customFormat="false" ht="15.75" hidden="false" customHeight="false" outlineLevel="0" collapsed="false"/>
    <row r="866" customFormat="false" ht="15.75" hidden="false" customHeight="false" outlineLevel="0" collapsed="false"/>
    <row r="867" customFormat="false" ht="15.75" hidden="false" customHeight="false" outlineLevel="0" collapsed="false"/>
    <row r="868" customFormat="false" ht="15.75" hidden="false" customHeight="false" outlineLevel="0" collapsed="false"/>
    <row r="869" customFormat="false" ht="15.75" hidden="false" customHeight="false" outlineLevel="0" collapsed="false"/>
    <row r="870" customFormat="false" ht="15.75" hidden="false" customHeight="false" outlineLevel="0" collapsed="false"/>
    <row r="871" customFormat="false" ht="15.75" hidden="false" customHeight="false" outlineLevel="0" collapsed="false"/>
    <row r="872" customFormat="false" ht="15.75" hidden="false" customHeight="false" outlineLevel="0" collapsed="false"/>
    <row r="873" customFormat="false" ht="15.75" hidden="false" customHeight="false" outlineLevel="0" collapsed="false"/>
    <row r="874" customFormat="false" ht="15.75" hidden="false" customHeight="false" outlineLevel="0" collapsed="false"/>
    <row r="875" customFormat="false" ht="15.75" hidden="false" customHeight="false" outlineLevel="0" collapsed="false"/>
    <row r="876" customFormat="false" ht="15.75" hidden="false" customHeight="false" outlineLevel="0" collapsed="false"/>
    <row r="877" customFormat="false" ht="15.75" hidden="false" customHeight="false" outlineLevel="0" collapsed="false"/>
    <row r="878" customFormat="false" ht="15.75" hidden="false" customHeight="false" outlineLevel="0" collapsed="false"/>
    <row r="879" customFormat="false" ht="15.75" hidden="false" customHeight="false" outlineLevel="0" collapsed="false"/>
    <row r="880" customFormat="false" ht="15.75" hidden="false" customHeight="false" outlineLevel="0" collapsed="false"/>
    <row r="881" customFormat="false" ht="15.75" hidden="false" customHeight="false" outlineLevel="0" collapsed="false"/>
    <row r="882" customFormat="false" ht="15.75" hidden="false" customHeight="false" outlineLevel="0" collapsed="false"/>
    <row r="883" customFormat="false" ht="15.75" hidden="false" customHeight="false" outlineLevel="0" collapsed="false"/>
    <row r="884" customFormat="false" ht="15.75" hidden="false" customHeight="false" outlineLevel="0" collapsed="false"/>
    <row r="885" customFormat="false" ht="15.75" hidden="false" customHeight="false" outlineLevel="0" collapsed="false"/>
    <row r="886" customFormat="false" ht="15.75" hidden="false" customHeight="false" outlineLevel="0" collapsed="false"/>
    <row r="887" customFormat="false" ht="15.75" hidden="false" customHeight="false" outlineLevel="0" collapsed="false"/>
    <row r="888" customFormat="false" ht="15.75" hidden="false" customHeight="false" outlineLevel="0" collapsed="false"/>
    <row r="889" customFormat="false" ht="15.75" hidden="false" customHeight="false" outlineLevel="0" collapsed="false"/>
    <row r="890" customFormat="false" ht="15.75" hidden="false" customHeight="false" outlineLevel="0" collapsed="false"/>
    <row r="891" customFormat="false" ht="15.75" hidden="false" customHeight="false" outlineLevel="0" collapsed="false"/>
    <row r="892" customFormat="false" ht="15.75" hidden="false" customHeight="false" outlineLevel="0" collapsed="false"/>
    <row r="893" customFormat="false" ht="15.75" hidden="false" customHeight="false" outlineLevel="0" collapsed="false"/>
    <row r="894" customFormat="false" ht="15.75" hidden="false" customHeight="false" outlineLevel="0" collapsed="false"/>
    <row r="895" customFormat="false" ht="15.75" hidden="false" customHeight="false" outlineLevel="0" collapsed="false"/>
    <row r="896" customFormat="false" ht="15.75" hidden="false" customHeight="false" outlineLevel="0" collapsed="false"/>
    <row r="897" customFormat="false" ht="15.75" hidden="false" customHeight="false" outlineLevel="0" collapsed="false"/>
    <row r="898" customFormat="false" ht="15.75" hidden="false" customHeight="false" outlineLevel="0" collapsed="false"/>
    <row r="899" customFormat="false" ht="15.75" hidden="false" customHeight="false" outlineLevel="0" collapsed="false"/>
    <row r="900" customFormat="false" ht="15.75" hidden="false" customHeight="false" outlineLevel="0" collapsed="false"/>
    <row r="901" customFormat="false" ht="15.75" hidden="false" customHeight="false" outlineLevel="0" collapsed="false"/>
    <row r="902" customFormat="false" ht="15.75" hidden="false" customHeight="false" outlineLevel="0" collapsed="false"/>
    <row r="903" customFormat="false" ht="15.75" hidden="false" customHeight="false" outlineLevel="0" collapsed="false"/>
    <row r="904" customFormat="false" ht="15.75" hidden="false" customHeight="false" outlineLevel="0" collapsed="false"/>
    <row r="905" customFormat="false" ht="15.75" hidden="false" customHeight="false" outlineLevel="0" collapsed="false"/>
    <row r="906" customFormat="false" ht="15.75" hidden="false" customHeight="false" outlineLevel="0" collapsed="false"/>
    <row r="907" customFormat="false" ht="15.75" hidden="false" customHeight="false" outlineLevel="0" collapsed="false"/>
    <row r="908" customFormat="false" ht="15.75" hidden="false" customHeight="false" outlineLevel="0" collapsed="false"/>
    <row r="909" customFormat="false" ht="15.75" hidden="false" customHeight="false" outlineLevel="0" collapsed="false"/>
    <row r="910" customFormat="false" ht="15.75" hidden="false" customHeight="false" outlineLevel="0" collapsed="false"/>
    <row r="911" customFormat="false" ht="15.75" hidden="false" customHeight="false" outlineLevel="0" collapsed="false"/>
    <row r="912" customFormat="false" ht="15.75" hidden="false" customHeight="false" outlineLevel="0" collapsed="false"/>
    <row r="913" customFormat="false" ht="15.75" hidden="false" customHeight="false" outlineLevel="0" collapsed="false"/>
    <row r="914" customFormat="false" ht="15.75" hidden="false" customHeight="false" outlineLevel="0" collapsed="false"/>
    <row r="915" customFormat="false" ht="15.75" hidden="false" customHeight="false" outlineLevel="0" collapsed="false"/>
    <row r="916" customFormat="false" ht="15.75" hidden="false" customHeight="false" outlineLevel="0" collapsed="false"/>
    <row r="917" customFormat="false" ht="15.75" hidden="false" customHeight="false" outlineLevel="0" collapsed="false"/>
    <row r="918" customFormat="false" ht="15.75" hidden="false" customHeight="false" outlineLevel="0" collapsed="false"/>
    <row r="919" customFormat="false" ht="15.75" hidden="false" customHeight="false" outlineLevel="0" collapsed="false"/>
    <row r="920" customFormat="false" ht="15.75" hidden="false" customHeight="false" outlineLevel="0" collapsed="false"/>
    <row r="921" customFormat="false" ht="15.75" hidden="false" customHeight="false" outlineLevel="0" collapsed="false"/>
    <row r="922" customFormat="false" ht="15.75" hidden="false" customHeight="false" outlineLevel="0" collapsed="false"/>
    <row r="923" customFormat="false" ht="15.75" hidden="false" customHeight="false" outlineLevel="0" collapsed="false"/>
    <row r="924" customFormat="false" ht="15.75" hidden="false" customHeight="false" outlineLevel="0" collapsed="false"/>
    <row r="925" customFormat="false" ht="15.75" hidden="false" customHeight="false" outlineLevel="0" collapsed="false"/>
    <row r="926" customFormat="false" ht="15.75" hidden="false" customHeight="false" outlineLevel="0" collapsed="false"/>
    <row r="927" customFormat="false" ht="15.75" hidden="false" customHeight="false" outlineLevel="0" collapsed="false"/>
    <row r="928" customFormat="false" ht="15.75" hidden="false" customHeight="false" outlineLevel="0" collapsed="false"/>
    <row r="929" customFormat="false" ht="15.75" hidden="false" customHeight="false" outlineLevel="0" collapsed="false"/>
    <row r="930" customFormat="false" ht="15.75" hidden="false" customHeight="false" outlineLevel="0" collapsed="false"/>
    <row r="931" customFormat="false" ht="15.75" hidden="false" customHeight="false" outlineLevel="0" collapsed="false"/>
    <row r="932" customFormat="false" ht="15.75" hidden="false" customHeight="false" outlineLevel="0" collapsed="false"/>
    <row r="933" customFormat="false" ht="15.75" hidden="false" customHeight="false" outlineLevel="0" collapsed="false"/>
    <row r="934" customFormat="false" ht="15.75" hidden="false" customHeight="false" outlineLevel="0" collapsed="false"/>
    <row r="935" customFormat="false" ht="15.75" hidden="false" customHeight="false" outlineLevel="0" collapsed="false"/>
    <row r="936" customFormat="false" ht="15.75" hidden="false" customHeight="false" outlineLevel="0" collapsed="false"/>
    <row r="937" customFormat="false" ht="15.75" hidden="false" customHeight="false" outlineLevel="0" collapsed="false"/>
    <row r="938" customFormat="false" ht="15.75" hidden="false" customHeight="false" outlineLevel="0" collapsed="false"/>
    <row r="939" customFormat="false" ht="15.75" hidden="false" customHeight="false" outlineLevel="0" collapsed="false"/>
    <row r="940" customFormat="false" ht="15.75" hidden="false" customHeight="false" outlineLevel="0" collapsed="false"/>
    <row r="941" customFormat="false" ht="15.75" hidden="false" customHeight="false" outlineLevel="0" collapsed="false"/>
    <row r="942" customFormat="false" ht="15.75" hidden="false" customHeight="false" outlineLevel="0" collapsed="false"/>
    <row r="943" customFormat="false" ht="15.75" hidden="false" customHeight="false" outlineLevel="0" collapsed="false"/>
    <row r="944" customFormat="false" ht="15.75" hidden="false" customHeight="false" outlineLevel="0" collapsed="false"/>
    <row r="945" customFormat="false" ht="15.75" hidden="false" customHeight="false" outlineLevel="0" collapsed="false"/>
    <row r="946" customFormat="false" ht="15.75" hidden="false" customHeight="false" outlineLevel="0" collapsed="false"/>
    <row r="947" customFormat="false" ht="15.75" hidden="false" customHeight="false" outlineLevel="0" collapsed="false"/>
    <row r="948" customFormat="false" ht="15.75" hidden="false" customHeight="false" outlineLevel="0" collapsed="false"/>
    <row r="949" customFormat="false" ht="15.75" hidden="false" customHeight="false" outlineLevel="0" collapsed="false"/>
    <row r="950" customFormat="false" ht="15.75" hidden="false" customHeight="false" outlineLevel="0" collapsed="false"/>
    <row r="951" customFormat="false" ht="15.75" hidden="false" customHeight="false" outlineLevel="0" collapsed="false"/>
    <row r="952" customFormat="false" ht="15.75" hidden="false" customHeight="false" outlineLevel="0" collapsed="false"/>
    <row r="953" customFormat="false" ht="15.75" hidden="false" customHeight="false" outlineLevel="0" collapsed="false"/>
    <row r="954" customFormat="false" ht="15.75" hidden="false" customHeight="false" outlineLevel="0" collapsed="false"/>
    <row r="955" customFormat="false" ht="15.75" hidden="false" customHeight="false" outlineLevel="0" collapsed="false"/>
    <row r="956" customFormat="false" ht="15.75" hidden="false" customHeight="false" outlineLevel="0" collapsed="false"/>
    <row r="957" customFormat="false" ht="15.75" hidden="false" customHeight="false" outlineLevel="0" collapsed="false"/>
    <row r="958" customFormat="false" ht="15.75" hidden="false" customHeight="false" outlineLevel="0" collapsed="false"/>
    <row r="959" customFormat="false" ht="15.75" hidden="false" customHeight="false" outlineLevel="0" collapsed="false"/>
    <row r="960" customFormat="false" ht="15.75" hidden="false" customHeight="false" outlineLevel="0" collapsed="false"/>
    <row r="961" customFormat="false" ht="15.75" hidden="false" customHeight="false" outlineLevel="0" collapsed="false"/>
    <row r="962" customFormat="false" ht="15.75" hidden="false" customHeight="false" outlineLevel="0" collapsed="false"/>
    <row r="963" customFormat="false" ht="15.75" hidden="false" customHeight="false" outlineLevel="0" collapsed="false"/>
    <row r="964" customFormat="false" ht="15.75" hidden="false" customHeight="false" outlineLevel="0" collapsed="false"/>
    <row r="965" customFormat="false" ht="15.75" hidden="false" customHeight="false" outlineLevel="0" collapsed="false"/>
    <row r="966" customFormat="false" ht="15.75" hidden="false" customHeight="false" outlineLevel="0" collapsed="false"/>
    <row r="967" customFormat="false" ht="15.75" hidden="false" customHeight="false" outlineLevel="0" collapsed="false"/>
    <row r="968" customFormat="false" ht="15.75" hidden="false" customHeight="false" outlineLevel="0" collapsed="false"/>
    <row r="969" customFormat="false" ht="15.75" hidden="false" customHeight="false" outlineLevel="0" collapsed="false"/>
    <row r="970" customFormat="false" ht="15.75" hidden="false" customHeight="false" outlineLevel="0" collapsed="false"/>
  </sheetData>
  <autoFilter ref="L1:L970"/>
  <conditionalFormatting sqref="B1 B3:B970">
    <cfRule type="cellIs" priority="2" operator="between" aboveAverage="0" equalAverage="0" bottom="0" percent="0" rank="0" text="" dxfId="2">
      <formula>50</formula>
      <formula>200</formula>
    </cfRule>
  </conditionalFormatting>
  <conditionalFormatting sqref="B1 B3:B970">
    <cfRule type="cellIs" priority="3" operator="between" aboveAverage="0" equalAverage="0" bottom="0" percent="0" rank="0" text="" dxfId="3">
      <formula>201</formula>
      <formula>400</formula>
    </cfRule>
  </conditionalFormatting>
  <conditionalFormatting sqref="B3:B965">
    <cfRule type="cellIs" priority="4" operator="between" aboveAverage="0" equalAverage="0" bottom="0" percent="0" rank="0" text="" dxfId="4">
      <formula>401</formula>
      <formula>650</formula>
    </cfRule>
  </conditionalFormatting>
  <conditionalFormatting sqref="B3:B965">
    <cfRule type="cellIs" priority="5" operator="between" aboveAverage="0" equalAverage="0" bottom="0" percent="0" rank="0" text="" dxfId="5">
      <formula>651</formula>
      <formula>900</formula>
    </cfRule>
  </conditionalFormatting>
  <conditionalFormatting sqref="B3:B965">
    <cfRule type="cellIs" priority="6" operator="greaterThan" aboveAverage="0" equalAverage="0" bottom="0" percent="0" rank="0" text="" dxfId="6">
      <formula>900</formula>
    </cfRule>
  </conditionalFormatting>
  <conditionalFormatting sqref="F1:F970">
    <cfRule type="colorScale" priority="7">
      <colorScale>
        <cfvo type="min" val="0"/>
        <cfvo type="formula" val="150"/>
        <color rgb="FFEAD1DC"/>
        <color rgb="FFA64D79"/>
      </colorScale>
    </cfRule>
  </conditionalFormatting>
  <conditionalFormatting sqref="H3:H8">
    <cfRule type="cellIs" priority="8" operator="between" aboveAverage="0" equalAverage="0" bottom="0" percent="0" rank="0" text="" dxfId="13">
      <formula>0.24</formula>
      <formula>0.45</formula>
    </cfRule>
  </conditionalFormatting>
  <conditionalFormatting sqref="H3:H8">
    <cfRule type="cellIs" priority="9" operator="between" aboveAverage="0" equalAverage="0" bottom="0" percent="0" rank="0" text="" dxfId="14">
      <formula>0.45</formula>
      <formula>0.99</formula>
    </cfRule>
  </conditionalFormatting>
  <conditionalFormatting sqref="H3:H8">
    <cfRule type="cellIs" priority="10" operator="greaterThan" aboveAverage="0" equalAverage="0" bottom="0" percent="0" rank="0" text="" dxfId="15">
      <formula>0.99</formula>
    </cfRule>
  </conditionalFormatting>
  <hyperlinks>
    <hyperlink ref="N1" r:id="rId1" display="Ebay.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docProps/app.xml><?xml version="1.0" encoding="utf-8"?>
<Properties xmlns="http://schemas.openxmlformats.org/officeDocument/2006/extended-properties" xmlns:vt="http://schemas.openxmlformats.org/officeDocument/2006/docPropsVTypes">
  <Template/>
  <TotalTime>5</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2023-02-28T19:35:07Z</dcterms:modified>
  <cp:revision>2</cp:revision>
  <dc:subject/>
  <dc:title/>
</cp:coreProperties>
</file>