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1" activeTab="5"/>
  </bookViews>
  <sheets>
    <sheet name="RawData_GRN_Detail" sheetId="1" state="hidden" r:id="rId1"/>
    <sheet name="GRN" sheetId="2" r:id="rId2"/>
    <sheet name="MonthList" sheetId="4" state="hidden" r:id="rId3"/>
    <sheet name="RawIssue" sheetId="6" state="hidden" r:id="rId4"/>
    <sheet name="Issue" sheetId="5" r:id="rId5"/>
    <sheet name="MasterSheet" sheetId="7" r:id="rId6"/>
    <sheet name="RawOpening" sheetId="8" state="hidden" r:id="rId7"/>
    <sheet name="Sheet1" sheetId="9" state="hidden" r:id="rId8"/>
  </sheets>
  <externalReferences>
    <externalReference r:id="rId9"/>
  </externalReferences>
  <definedNames>
    <definedName name="_192.168.3.138_Grn" localSheetId="0" hidden="1">RawData_GRN_Detail!$A$1:$E$28</definedName>
    <definedName name="ExternalData_1" localSheetId="1" hidden="1">GRN!$A$4:$F$9</definedName>
    <definedName name="ExternalData_1" localSheetId="4" hidden="1">Issue!$A$4:$D$12</definedName>
    <definedName name="ExternalData_1" localSheetId="5" hidden="1">MasterSheet!$A$4:$C$9</definedName>
    <definedName name="ExternalData_1" localSheetId="3" hidden="1">RawIssue!$A$1:$D$89</definedName>
    <definedName name="ExternalData_1" localSheetId="6" hidden="1">RawOpening!$A$1:$B$6</definedName>
    <definedName name="GDList">Table__192.168.3.138_Grn[DayNo]</definedName>
    <definedName name="GIList">Table__192.168.3.138_Grn[item_key]</definedName>
    <definedName name="GQList">Table__192.168.3.138_Grn[Qty]</definedName>
    <definedName name="GTList">Table__192.168.3.138_Grn[RType]</definedName>
    <definedName name="IsDList">Table_ExternalData_14[DayNo]</definedName>
    <definedName name="IsIList">Table_ExternalData_14[item_key]</definedName>
    <definedName name="IsITypeList">Table_ExternalData_14[IType]</definedName>
    <definedName name="IsQList">Table_ExternalData_14[Qty]</definedName>
    <definedName name="OPBIList">Table_ExternalData_16[item_key]</definedName>
    <definedName name="OPBQList">Table_ExternalData_16[OpQty]</definedName>
  </definedNames>
  <calcPr calcId="125725"/>
</workbook>
</file>

<file path=xl/calcChain.xml><?xml version="1.0" encoding="utf-8"?>
<calcChain xmlns="http://schemas.openxmlformats.org/spreadsheetml/2006/main">
  <c r="D8" i="7"/>
  <c r="O5"/>
  <c r="O6"/>
  <c r="O7"/>
  <c r="O8"/>
  <c r="O9"/>
  <c r="K5"/>
  <c r="K6"/>
  <c r="K7"/>
  <c r="K8"/>
  <c r="K9"/>
  <c r="P23" i="9"/>
  <c r="O21"/>
  <c r="D5" i="7"/>
  <c r="D6"/>
  <c r="D7"/>
  <c r="D9"/>
  <c r="E5"/>
  <c r="E6"/>
  <c r="E7"/>
  <c r="E8"/>
  <c r="E9"/>
  <c r="F5"/>
  <c r="F6"/>
  <c r="F7"/>
  <c r="F8"/>
  <c r="F9"/>
  <c r="G5"/>
  <c r="G6"/>
  <c r="G7"/>
  <c r="G8"/>
  <c r="G9"/>
  <c r="H5"/>
  <c r="H6"/>
  <c r="H7"/>
  <c r="H8"/>
  <c r="H9"/>
  <c r="I5"/>
  <c r="I6"/>
  <c r="I7"/>
  <c r="I8"/>
  <c r="I9"/>
  <c r="L5"/>
  <c r="L6"/>
  <c r="L7"/>
  <c r="L8"/>
  <c r="L9"/>
  <c r="M5"/>
  <c r="M6"/>
  <c r="M7"/>
  <c r="M8"/>
  <c r="M9"/>
  <c r="N5"/>
  <c r="N6"/>
  <c r="N7"/>
  <c r="N8"/>
  <c r="N9"/>
  <c r="E5" i="5"/>
  <c r="E6"/>
  <c r="E7"/>
  <c r="E8"/>
  <c r="E9"/>
  <c r="E10"/>
  <c r="E11"/>
  <c r="E12"/>
  <c r="F5"/>
  <c r="F6"/>
  <c r="F7"/>
  <c r="F8"/>
  <c r="F9"/>
  <c r="F10"/>
  <c r="F11"/>
  <c r="F12"/>
  <c r="G5"/>
  <c r="G6"/>
  <c r="G7"/>
  <c r="G8"/>
  <c r="G9"/>
  <c r="G10"/>
  <c r="G11"/>
  <c r="G12"/>
  <c r="H5"/>
  <c r="H6"/>
  <c r="H7"/>
  <c r="H8"/>
  <c r="H9"/>
  <c r="H10"/>
  <c r="H11"/>
  <c r="H12"/>
  <c r="I5"/>
  <c r="I6"/>
  <c r="I7"/>
  <c r="I8"/>
  <c r="I9"/>
  <c r="I10"/>
  <c r="I11"/>
  <c r="I12"/>
  <c r="J5"/>
  <c r="J6"/>
  <c r="J7"/>
  <c r="J8"/>
  <c r="J9"/>
  <c r="J10"/>
  <c r="J11"/>
  <c r="J12"/>
  <c r="K5"/>
  <c r="K6"/>
  <c r="K7"/>
  <c r="K8"/>
  <c r="K9"/>
  <c r="K10"/>
  <c r="K11"/>
  <c r="K12"/>
  <c r="L5"/>
  <c r="L6"/>
  <c r="L7"/>
  <c r="L8"/>
  <c r="L9"/>
  <c r="L10"/>
  <c r="L11"/>
  <c r="L12"/>
  <c r="M5"/>
  <c r="M6"/>
  <c r="M7"/>
  <c r="M8"/>
  <c r="M9"/>
  <c r="M10"/>
  <c r="M11"/>
  <c r="M12"/>
  <c r="N5"/>
  <c r="N6"/>
  <c r="N7"/>
  <c r="N8"/>
  <c r="N9"/>
  <c r="N10"/>
  <c r="N11"/>
  <c r="N12"/>
  <c r="O5"/>
  <c r="O6"/>
  <c r="O7"/>
  <c r="O8"/>
  <c r="O9"/>
  <c r="O10"/>
  <c r="O11"/>
  <c r="O12"/>
  <c r="P5"/>
  <c r="P6"/>
  <c r="P7"/>
  <c r="P8"/>
  <c r="P9"/>
  <c r="P10"/>
  <c r="P11"/>
  <c r="P12"/>
  <c r="Q5"/>
  <c r="Q6"/>
  <c r="Q7"/>
  <c r="Q8"/>
  <c r="Q9"/>
  <c r="Q10"/>
  <c r="Q11"/>
  <c r="Q12"/>
  <c r="R5"/>
  <c r="R6"/>
  <c r="R7"/>
  <c r="R8"/>
  <c r="R9"/>
  <c r="R10"/>
  <c r="R11"/>
  <c r="R12"/>
  <c r="S5"/>
  <c r="S6"/>
  <c r="S7"/>
  <c r="S8"/>
  <c r="S9"/>
  <c r="S10"/>
  <c r="S11"/>
  <c r="S12"/>
  <c r="T5"/>
  <c r="T6"/>
  <c r="T7"/>
  <c r="T8"/>
  <c r="T9"/>
  <c r="T10"/>
  <c r="T11"/>
  <c r="T12"/>
  <c r="U5"/>
  <c r="U6"/>
  <c r="U7"/>
  <c r="U8"/>
  <c r="U9"/>
  <c r="U10"/>
  <c r="U11"/>
  <c r="U12"/>
  <c r="V5"/>
  <c r="V6"/>
  <c r="V7"/>
  <c r="V8"/>
  <c r="V9"/>
  <c r="V10"/>
  <c r="V11"/>
  <c r="V12"/>
  <c r="W5"/>
  <c r="W6"/>
  <c r="W7"/>
  <c r="W8"/>
  <c r="W9"/>
  <c r="W10"/>
  <c r="W11"/>
  <c r="W12"/>
  <c r="X5"/>
  <c r="X6"/>
  <c r="X7"/>
  <c r="X8"/>
  <c r="X9"/>
  <c r="X10"/>
  <c r="X11"/>
  <c r="X12"/>
  <c r="Y5"/>
  <c r="Y6"/>
  <c r="Y7"/>
  <c r="Y8"/>
  <c r="Y9"/>
  <c r="Y10"/>
  <c r="Y11"/>
  <c r="Y12"/>
  <c r="Z5"/>
  <c r="Z6"/>
  <c r="Z7"/>
  <c r="Z8"/>
  <c r="Z9"/>
  <c r="Z10"/>
  <c r="Z11"/>
  <c r="Z12"/>
  <c r="AA5"/>
  <c r="AA6"/>
  <c r="AA7"/>
  <c r="AA8"/>
  <c r="AA9"/>
  <c r="AA10"/>
  <c r="AA11"/>
  <c r="AA12"/>
  <c r="AB5"/>
  <c r="AB6"/>
  <c r="AB7"/>
  <c r="AB8"/>
  <c r="AB9"/>
  <c r="AB10"/>
  <c r="AB11"/>
  <c r="AB12"/>
  <c r="AC5"/>
  <c r="AC6"/>
  <c r="AC7"/>
  <c r="AC8"/>
  <c r="AC9"/>
  <c r="AC10"/>
  <c r="AC11"/>
  <c r="AC12"/>
  <c r="AD5"/>
  <c r="AD6"/>
  <c r="AD7"/>
  <c r="AD8"/>
  <c r="AD9"/>
  <c r="AD10"/>
  <c r="AD11"/>
  <c r="AD12"/>
  <c r="AE5"/>
  <c r="AE6"/>
  <c r="AE7"/>
  <c r="AE8"/>
  <c r="AE9"/>
  <c r="AE10"/>
  <c r="AE11"/>
  <c r="AE12"/>
  <c r="AF5"/>
  <c r="AF6"/>
  <c r="AF7"/>
  <c r="AF8"/>
  <c r="AF9"/>
  <c r="AF10"/>
  <c r="AF11"/>
  <c r="AF12"/>
  <c r="AG5"/>
  <c r="AG6"/>
  <c r="AG7"/>
  <c r="AG8"/>
  <c r="AG9"/>
  <c r="AG10"/>
  <c r="AG11"/>
  <c r="AG12"/>
  <c r="AH5"/>
  <c r="AH6"/>
  <c r="AH7"/>
  <c r="AH8"/>
  <c r="AH9"/>
  <c r="AH10"/>
  <c r="AH11"/>
  <c r="AH12"/>
  <c r="AI5"/>
  <c r="AI6"/>
  <c r="AI7"/>
  <c r="AI8"/>
  <c r="AI9"/>
  <c r="AI10"/>
  <c r="AI11"/>
  <c r="AJ11" s="1"/>
  <c r="AI12"/>
  <c r="AJ5"/>
  <c r="AJ6"/>
  <c r="AJ7"/>
  <c r="AJ8"/>
  <c r="AJ9"/>
  <c r="AJ10"/>
  <c r="L28" i="9"/>
  <c r="G5" i="2"/>
  <c r="G6"/>
  <c r="G7"/>
  <c r="G8"/>
  <c r="G9"/>
  <c r="H5"/>
  <c r="H6"/>
  <c r="H7"/>
  <c r="H8"/>
  <c r="H9"/>
  <c r="I5"/>
  <c r="I6"/>
  <c r="I7"/>
  <c r="I8"/>
  <c r="I9"/>
  <c r="J5"/>
  <c r="J6"/>
  <c r="J7"/>
  <c r="J8"/>
  <c r="J9"/>
  <c r="K5"/>
  <c r="K6"/>
  <c r="K7"/>
  <c r="K8"/>
  <c r="K9"/>
  <c r="L5"/>
  <c r="L6"/>
  <c r="L7"/>
  <c r="L8"/>
  <c r="L9"/>
  <c r="M5"/>
  <c r="M6"/>
  <c r="M7"/>
  <c r="M8"/>
  <c r="M9"/>
  <c r="N5"/>
  <c r="N6"/>
  <c r="N7"/>
  <c r="N8"/>
  <c r="N9"/>
  <c r="O5"/>
  <c r="O6"/>
  <c r="O7"/>
  <c r="O8"/>
  <c r="O9"/>
  <c r="P5"/>
  <c r="P6"/>
  <c r="P7"/>
  <c r="P8"/>
  <c r="P9"/>
  <c r="Q5"/>
  <c r="Q6"/>
  <c r="Q7"/>
  <c r="Q8"/>
  <c r="Q9"/>
  <c r="R5"/>
  <c r="R6"/>
  <c r="R7"/>
  <c r="R8"/>
  <c r="R9"/>
  <c r="S5"/>
  <c r="S6"/>
  <c r="S7"/>
  <c r="S8"/>
  <c r="S9"/>
  <c r="T5"/>
  <c r="T6"/>
  <c r="T7"/>
  <c r="T8"/>
  <c r="T9"/>
  <c r="U5"/>
  <c r="U6"/>
  <c r="U7"/>
  <c r="U8"/>
  <c r="U9"/>
  <c r="V5"/>
  <c r="V6"/>
  <c r="V7"/>
  <c r="V8"/>
  <c r="V9"/>
  <c r="W5"/>
  <c r="W6"/>
  <c r="W7"/>
  <c r="W8"/>
  <c r="W9"/>
  <c r="X5"/>
  <c r="X6"/>
  <c r="X7"/>
  <c r="X8"/>
  <c r="X9"/>
  <c r="Y5"/>
  <c r="Y6"/>
  <c r="Y7"/>
  <c r="Y8"/>
  <c r="Y9"/>
  <c r="Z5"/>
  <c r="Z6"/>
  <c r="Z7"/>
  <c r="Z8"/>
  <c r="Z9"/>
  <c r="AA5"/>
  <c r="AA6"/>
  <c r="AA7"/>
  <c r="AA8"/>
  <c r="AA9"/>
  <c r="AB5"/>
  <c r="AB6"/>
  <c r="AB7"/>
  <c r="AB8"/>
  <c r="AB9"/>
  <c r="AC5"/>
  <c r="AC6"/>
  <c r="AC7"/>
  <c r="AC8"/>
  <c r="AC9"/>
  <c r="AD5"/>
  <c r="AD6"/>
  <c r="AD7"/>
  <c r="AD8"/>
  <c r="AD9"/>
  <c r="AE5"/>
  <c r="AE6"/>
  <c r="AE7"/>
  <c r="AE8"/>
  <c r="AE9"/>
  <c r="AF5"/>
  <c r="AF6"/>
  <c r="AF7"/>
  <c r="AF8"/>
  <c r="AF9"/>
  <c r="AG5"/>
  <c r="AG6"/>
  <c r="AG7"/>
  <c r="AG8"/>
  <c r="AG9"/>
  <c r="AH5"/>
  <c r="AH6"/>
  <c r="AH7"/>
  <c r="AH8"/>
  <c r="AH9"/>
  <c r="AI5"/>
  <c r="AI6"/>
  <c r="AI7"/>
  <c r="AI8"/>
  <c r="AI9"/>
  <c r="AJ5"/>
  <c r="AJ6"/>
  <c r="AJ7"/>
  <c r="AJ8"/>
  <c r="AJ9"/>
  <c r="AK5"/>
  <c r="AK6"/>
  <c r="AK7"/>
  <c r="AK8"/>
  <c r="AK9"/>
  <c r="I5" i="9"/>
  <c r="F3" i="5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E3"/>
  <c r="L3" i="2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H3"/>
  <c r="I3"/>
  <c r="J3"/>
  <c r="K3"/>
  <c r="G3"/>
  <c r="J8" i="7" l="1"/>
  <c r="J6"/>
  <c r="J9"/>
  <c r="J7"/>
  <c r="J5"/>
  <c r="AL9" i="2"/>
  <c r="AL5"/>
  <c r="AL8"/>
  <c r="AL6"/>
  <c r="P5" i="7"/>
  <c r="AL7" i="2"/>
  <c r="Q5" i="7"/>
  <c r="P9"/>
  <c r="AJ12" i="5"/>
  <c r="P7" i="7"/>
  <c r="P8"/>
  <c r="P6"/>
  <c r="Q7" l="1"/>
  <c r="Q9"/>
  <c r="Q6"/>
  <c r="Q8"/>
</calcChain>
</file>

<file path=xl/comments1.xml><?xml version="1.0" encoding="utf-8"?>
<comments xmlns="http://schemas.openxmlformats.org/spreadsheetml/2006/main">
  <authors>
    <author>Author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 xml:space="preserve">
Note : - Read colors strips using mouse over.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GRN:-
GRN showing Stock In from vendor . It is covering RH,RL,RT,RIM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TR:-
TR listening Quantity Sum of all  those documents which are being transferred through CST or ICST type. It covers ISTR and ECTR.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RCA:-
RCA are those documents which were created wrongly and later on were cancelled by data entry user . Please note that it is not a return or rejection but a user mistake only which were corrected.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SR:-
SR covering documents where our customer return back goods because of any particular reason.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VSTR:-
VSTR is used to take remaining material back into stock from vendor. 
VST Covering documents where material is transferring to vendor  as a BOM of purchase order process.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
Note : - Read colors strips using mouse over.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R/P Showing comsumption detail . It is covering ISCO,ISCU and VCO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CST listening Quantity Sum of all  those documents which are being transferred through CST type.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RTN convering documents which are being return using RR or RRT from vendor.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S/I covering documents which are being issued using any type of Sale Invoice.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VST Covering documents where material is transferring to vendor as a purchase order process. VSTR is used to take remaining material back into GRN.</t>
        </r>
      </text>
    </comment>
  </commentList>
</comments>
</file>

<file path=xl/connections.xml><?xml version="1.0" encoding="utf-8"?>
<connections xmlns="http://schemas.openxmlformats.org/spreadsheetml/2006/main">
  <connection id="1" keepAlive="1" name="192.168.3.138_DYL_OP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opening_excell_inventory"/>
  </connection>
  <connection id="2" keepAlive="1" name="192.168.3.138_Grn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grn_dayWiseSum_excell_inventory"/>
  </connection>
  <connection id="3" keepAlive="1" name="192.168.3.138_GRN_VendItem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grn_dayWiseSum_VendorWiseItemList_excell_inventory"/>
  </connection>
  <connection id="4" keepAlive="1" name="192.168.3.138_Inv_DYL_Is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 rpt_prc_inv_issue_dayWiseSum_excell_inventory 'Item'"/>
  </connection>
  <connection id="5" keepAlive="1" name="192.168.3.138_Inv_DYL_Is_Detail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issue_dayWiseSum_excell_inventory 'Detail'"/>
  </connection>
  <connection id="6" keepAlive="1" name="192.168.3.138_Inv_DYL_OnlyItem1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 rpt_prc_inv_issue_dayWiseSum_excell_inventory 'OnlyItem'"/>
  </connection>
</connections>
</file>

<file path=xl/sharedStrings.xml><?xml version="1.0" encoding="utf-8"?>
<sst xmlns="http://schemas.openxmlformats.org/spreadsheetml/2006/main" count="467" uniqueCount="102">
  <si>
    <t>supcode</t>
  </si>
  <si>
    <t>DayNo</t>
  </si>
  <si>
    <t>item_key</t>
  </si>
  <si>
    <t>SUP-1969</t>
  </si>
  <si>
    <t>SUP-0979</t>
  </si>
  <si>
    <t>SUP-1341</t>
  </si>
  <si>
    <t>006-04347</t>
  </si>
  <si>
    <t>SUP-1993</t>
  </si>
  <si>
    <t>006-00039</t>
  </si>
  <si>
    <t>006-04141</t>
  </si>
  <si>
    <t>VendorName</t>
  </si>
  <si>
    <t>Item_key</t>
  </si>
  <si>
    <t>itemNo</t>
  </si>
  <si>
    <t>itemName</t>
  </si>
  <si>
    <t>5HM-F5181-00</t>
  </si>
  <si>
    <t xml:space="preserve">AXLE,WHEEL FR.                </t>
  </si>
  <si>
    <t xml:space="preserve">BOLT,FLG.                     </t>
  </si>
  <si>
    <t>BEWL-UNIT-GHL</t>
  </si>
  <si>
    <t>7DY-E8111-00-93</t>
  </si>
  <si>
    <t>PEDAL SHIFT ASSY</t>
  </si>
  <si>
    <t>7DY-F1510-00-93</t>
  </si>
  <si>
    <t xml:space="preserve">FRONT FENDER COMP. (CHROME)              </t>
  </si>
  <si>
    <t>Total</t>
  </si>
  <si>
    <t>Qty</t>
  </si>
  <si>
    <t>RType</t>
  </si>
  <si>
    <t>GRN</t>
  </si>
  <si>
    <t>RCA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</si>
  <si>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</si>
  <si>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</si>
  <si>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</si>
  <si>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</si>
  <si>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</si>
  <si>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</si>
  <si>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</si>
  <si>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</si>
  <si>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</si>
  <si>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</si>
  <si>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</si>
  <si>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</si>
  <si>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</si>
  <si>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</si>
  <si>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</si>
  <si>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</si>
  <si>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</si>
  <si>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</si>
  <si>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</si>
  <si>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</si>
  <si>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</si>
  <si>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</si>
  <si>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</si>
  <si>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</si>
  <si>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</si>
  <si>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</si>
  <si>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</si>
  <si>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</si>
  <si>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</si>
  <si>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</si>
  <si>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</si>
  <si>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Receipt Detail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</si>
  <si>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</si>
  <si>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</si>
  <si>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</si>
  <si>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</si>
  <si>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</si>
  <si>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</si>
  <si>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</si>
  <si>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</si>
  <si>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</si>
  <si>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</si>
  <si>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</si>
  <si>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</si>
  <si>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</t>
  </si>
  <si>
    <t>VType</t>
  </si>
  <si>
    <t>S</t>
  </si>
  <si>
    <t>M</t>
  </si>
  <si>
    <t xml:space="preserve">Note:-Eliminated items are Service,Inactive and Invalid  </t>
  </si>
  <si>
    <t>IType</t>
  </si>
  <si>
    <t>CST</t>
  </si>
  <si>
    <t>VST</t>
  </si>
  <si>
    <t>RTN</t>
  </si>
  <si>
    <t>R/P</t>
  </si>
  <si>
    <t>006-00098</t>
  </si>
  <si>
    <t>006-04505</t>
  </si>
  <si>
    <t>S/I</t>
  </si>
  <si>
    <t>95807-06012</t>
  </si>
  <si>
    <t>7DY-E9001-10</t>
  </si>
  <si>
    <t>ENG. ASSY.</t>
  </si>
  <si>
    <t>Issue Detail</t>
  </si>
  <si>
    <t>VSTR</t>
  </si>
  <si>
    <t>Document Detail</t>
  </si>
  <si>
    <t>SR</t>
  </si>
  <si>
    <t>Closing Balance</t>
  </si>
  <si>
    <t>Opening</t>
  </si>
  <si>
    <t>Total Receipt</t>
  </si>
  <si>
    <t>Total Issue</t>
  </si>
  <si>
    <t>SUP-1679</t>
  </si>
  <si>
    <t/>
  </si>
  <si>
    <t>OpQty</t>
  </si>
  <si>
    <t xml:space="preserve">Month </t>
  </si>
  <si>
    <t>Uthal Production Inventory Report</t>
  </si>
  <si>
    <t>ALLIED ENGINEERS SYNDICATE / S.M ENGINEERING &amp; METAL WORKS / BRIGHT STAR ELECTROPLATING &amp; ENGINEERING (PVT) LTD</t>
  </si>
  <si>
    <t>SUPER STAR METAL FINISHING (PVT) LIMITED / S.M ENGINEERING &amp; METAL WORKS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</si>
</sst>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9"/>
      <color theme="0" tint="-0.14999847407452621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2" tint="-9.9978637043366805E-2"/>
      <name val="Calibri"/>
      <family val="2"/>
      <scheme val="minor"/>
    </font>
    <font>
      <sz val="9"/>
      <color theme="1"/>
      <name val="Calibri"/>
      <scheme val="minor"/>
    </font>
    <font>
      <b/>
      <sz val="9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70CE9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2A6E4"/>
        <bgColor indexed="64"/>
      </patternFill>
    </fill>
    <fill>
      <patternFill patternType="solid">
        <fgColor rgb="FFF5B1E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5" fillId="2" borderId="3" applyNumberFormat="0" applyFont="0" applyAlignment="0" applyProtection="0"/>
    <xf numFmtId="0" fontId="1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NumberFormat="1" applyFont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vertical="center"/>
    </xf>
    <xf numFmtId="0" fontId="13" fillId="9" borderId="0" xfId="0" applyFont="1" applyFill="1" applyAlignment="1">
      <alignment horizontal="center" vertical="center"/>
    </xf>
    <xf numFmtId="0" fontId="7" fillId="0" borderId="0" xfId="0" applyFont="1"/>
    <xf numFmtId="0" fontId="3" fillId="11" borderId="0" xfId="0" applyFont="1" applyFill="1" applyBorder="1"/>
    <xf numFmtId="0" fontId="3" fillId="11" borderId="2" xfId="0" applyFont="1" applyFill="1" applyBorder="1"/>
    <xf numFmtId="0" fontId="16" fillId="11" borderId="0" xfId="0" applyFont="1" applyFill="1" applyBorder="1" applyAlignment="1">
      <alignment horizontal="left" vertical="top"/>
    </xf>
    <xf numFmtId="0" fontId="17" fillId="11" borderId="2" xfId="0" applyFont="1" applyFill="1" applyBorder="1" applyAlignment="1" applyProtection="1">
      <alignment horizontal="center"/>
    </xf>
    <xf numFmtId="0" fontId="17" fillId="11" borderId="0" xfId="0" applyFont="1" applyFill="1" applyBorder="1" applyAlignment="1" applyProtection="1">
      <alignment horizontal="center"/>
      <protection locked="0"/>
    </xf>
    <xf numFmtId="0" fontId="17" fillId="11" borderId="2" xfId="0" applyFont="1" applyFill="1" applyBorder="1" applyAlignment="1">
      <alignment horizontal="center" vertical="top"/>
    </xf>
    <xf numFmtId="0" fontId="19" fillId="11" borderId="0" xfId="4" applyFill="1" applyBorder="1" applyAlignment="1" applyProtection="1"/>
    <xf numFmtId="0" fontId="15" fillId="11" borderId="0" xfId="3" applyFill="1" applyBorder="1"/>
    <xf numFmtId="0" fontId="20" fillId="11" borderId="2" xfId="0" applyFont="1" applyFill="1" applyBorder="1"/>
    <xf numFmtId="0" fontId="6" fillId="0" borderId="1" xfId="1" applyFont="1" applyAlignment="1">
      <alignment horizontal="center"/>
    </xf>
    <xf numFmtId="0" fontId="8" fillId="0" borderId="0" xfId="0" applyFont="1" applyAlignment="1">
      <alignment horizontal="left" wrapText="1"/>
    </xf>
    <xf numFmtId="0" fontId="14" fillId="2" borderId="3" xfId="2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NumberFormat="1" applyFont="1" applyAlignment="1">
      <alignment vertical="center" wrapText="1"/>
    </xf>
    <xf numFmtId="0" fontId="21" fillId="0" borderId="0" xfId="0" applyFont="1"/>
    <xf numFmtId="0" fontId="22" fillId="0" borderId="0" xfId="0" applyFont="1" applyAlignment="1">
      <alignment horizontal="center"/>
    </xf>
    <xf numFmtId="0" fontId="21" fillId="0" borderId="0" xfId="0" applyNumberFormat="1" applyFont="1"/>
    <xf numFmtId="0" fontId="0" fillId="12" borderId="4" xfId="0" applyFont="1" applyFill="1" applyBorder="1"/>
    <xf numFmtId="0" fontId="0" fillId="13" borderId="4" xfId="0" applyFont="1" applyFill="1" applyBorder="1"/>
    <xf numFmtId="0" fontId="0" fillId="13" borderId="5" xfId="0" applyFont="1" applyFill="1" applyBorder="1"/>
    <xf numFmtId="0" fontId="0" fillId="12" borderId="5" xfId="0" applyFont="1" applyFill="1" applyBorder="1"/>
  </cellXfs>
  <cellStyles count="5">
    <cellStyle name="Heading 1" xfId="1" builtinId="16"/>
    <cellStyle name="Hyperlink" xfId="4" builtinId="8"/>
    <cellStyle name="Normal" xfId="0" builtinId="0"/>
    <cellStyle name="Note" xfId="2" builtinId="10"/>
    <cellStyle name="Title" xfId="3" builtinId="15"/>
  </cellStyles>
  <dxfs count="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ill>
        <patternFill>
          <bgColor theme="6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gray0625">
          <f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auto="1"/>
        </patternFill>
      </fill>
    </dxf>
    <dxf>
      <fill>
        <patternFill>
          <bgColor theme="2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F5B1E3"/>
      <color rgb="FF72A6E4"/>
      <color rgb="FF70CE9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ghar.HODOMAIN/Desktop/Excell%20Reporting/VendorMIS/DispatchSheet_Rev_05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thList"/>
      <sheetName val="Index"/>
      <sheetName val="HUB_To_Uthal"/>
      <sheetName val="BEWL_To_AEW.GHL"/>
      <sheetName val="DCL_To_AEWL.GHL"/>
      <sheetName val="RawDataDTAG"/>
      <sheetName val="RAWDataBTAG"/>
      <sheetName val="RawData"/>
      <sheetName val="RawDataGTBDA"/>
      <sheetName val="GHL_To_BEWL.DCL.AEWL"/>
      <sheetName val="RawDataCTE"/>
      <sheetName val="CWH_To_Elecom"/>
      <sheetName val="Hub4_To_Elecom"/>
      <sheetName val="RawDataCTU70"/>
      <sheetName val="RawDataCTU100"/>
      <sheetName val="CWH_To_UTH70CC"/>
      <sheetName val="CWH_To_UTH100CC"/>
      <sheetName val="RawDataHTE"/>
      <sheetName val="DispatchSheet_Rev_05"/>
    </sheetNames>
    <definedNames>
      <definedName name="CWH_To_Elecom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queryTables/queryTable1.xml><?xml version="1.0" encoding="utf-8"?>
<queryTable xmlns="http://schemas.openxmlformats.org/spreadsheetml/2006/main" name="192.168.3.138_Grn" connectionId="2" autoFormatId="16" applyNumberFormats="0" applyBorderFormats="0" applyFontFormats="0" applyPatternFormats="0" applyAlignmentFormats="0" applyWidthHeightFormats="0">
  <queryTableRefresh nextId="8">
    <queryTableFields count="5">
      <queryTableField id="1" name="supcode" tableColumnId="1"/>
      <queryTableField id="2" name="DayNo" tableColumnId="2"/>
      <queryTableField id="3" name="item_key" tableColumnId="3"/>
      <queryTableField id="6" name="Qty" tableColumnId="4"/>
      <queryTableField id="7" name="RType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1" unboundColumnsRight="32">
    <queryTableFields count="38">
      <queryTableField id="109" name="VType" tableColumnId="39"/>
      <queryTableField id="1" name="VendorName" tableColumnId="1"/>
      <queryTableField id="2" name="Item_key" tableColumnId="2"/>
      <queryTableField id="3" name="itemNo" tableColumnId="3"/>
      <queryTableField id="4" name="itemName" tableColumnId="4"/>
      <queryTableField id="76" name="RType" tableColumnId="5"/>
      <queryTableField id="77" dataBound="0" tableColumnId="6"/>
      <queryTableField id="78" dataBound="0" tableColumnId="7"/>
      <queryTableField id="79" dataBound="0" tableColumnId="8"/>
      <queryTableField id="107" dataBound="0" tableColumnId="9"/>
      <queryTableField id="106" dataBound="0" tableColumnId="10"/>
      <queryTableField id="105" dataBound="0" tableColumnId="11"/>
      <queryTableField id="104" dataBound="0" tableColumnId="12"/>
      <queryTableField id="103" dataBound="0" tableColumnId="13"/>
      <queryTableField id="102" dataBound="0" tableColumnId="14"/>
      <queryTableField id="101" dataBound="0" tableColumnId="15"/>
      <queryTableField id="100" dataBound="0" tableColumnId="16"/>
      <queryTableField id="99" dataBound="0" tableColumnId="17"/>
      <queryTableField id="98" dataBound="0" tableColumnId="18"/>
      <queryTableField id="97" dataBound="0" tableColumnId="19"/>
      <queryTableField id="96" dataBound="0" tableColumnId="20"/>
      <queryTableField id="95" dataBound="0" tableColumnId="21"/>
      <queryTableField id="94" dataBound="0" tableColumnId="22"/>
      <queryTableField id="93" dataBound="0" tableColumnId="23"/>
      <queryTableField id="92" dataBound="0" tableColumnId="24"/>
      <queryTableField id="91" dataBound="0" tableColumnId="25"/>
      <queryTableField id="90" dataBound="0" tableColumnId="26"/>
      <queryTableField id="89" dataBound="0" tableColumnId="27"/>
      <queryTableField id="88" dataBound="0" tableColumnId="28"/>
      <queryTableField id="87" dataBound="0" tableColumnId="29"/>
      <queryTableField id="86" dataBound="0" tableColumnId="30"/>
      <queryTableField id="85" dataBound="0" tableColumnId="31"/>
      <queryTableField id="84" dataBound="0" tableColumnId="32"/>
      <queryTableField id="83" dataBound="0" tableColumnId="33"/>
      <queryTableField id="82" dataBound="0" tableColumnId="34"/>
      <queryTableField id="81" dataBound="0" tableColumnId="35"/>
      <queryTableField id="80" dataBound="0" tableColumnId="36"/>
      <queryTableField id="108" dataBound="0" tableColumnId="37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7">
    <queryTableFields count="4">
      <queryTableField id="1" name="item_key" tableColumnId="1"/>
      <queryTableField id="2" name="DayNo" tableColumnId="2"/>
      <queryTableField id="4" name="IType" tableColumnId="4"/>
      <queryTableField id="6" name="Qty" tableColumnId="5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7" unboundColumnsRight="32">
    <queryTableFields count="36">
      <queryTableField id="1" name="item_key" tableColumnId="1"/>
      <queryTableField id="2" name="itemNo" tableColumnId="2"/>
      <queryTableField id="3" name="itemName" tableColumnId="3"/>
      <queryTableField id="4" name="ITyp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35" dataBound="0" tableColumnId="9"/>
      <queryTableField id="34" dataBound="0" tableColumnId="10"/>
      <queryTableField id="33" dataBound="0" tableColumnId="11"/>
      <queryTableField id="32" dataBound="0" tableColumnId="12"/>
      <queryTableField id="31" dataBound="0" tableColumnId="13"/>
      <queryTableField id="30" dataBound="0" tableColumnId="14"/>
      <queryTableField id="29" dataBound="0" tableColumnId="15"/>
      <queryTableField id="28" dataBound="0" tableColumnId="16"/>
      <queryTableField id="27" dataBound="0" tableColumnId="17"/>
      <queryTableField id="26" dataBound="0" tableColumnId="18"/>
      <queryTableField id="25" dataBound="0" tableColumnId="19"/>
      <queryTableField id="24" dataBound="0" tableColumnId="20"/>
      <queryTableField id="23" dataBound="0" tableColumnId="21"/>
      <queryTableField id="22" dataBound="0" tableColumnId="22"/>
      <queryTableField id="21" dataBound="0" tableColumnId="23"/>
      <queryTableField id="20" dataBound="0" tableColumnId="24"/>
      <queryTableField id="19" dataBound="0" tableColumnId="25"/>
      <queryTableField id="18" dataBound="0" tableColumnId="26"/>
      <queryTableField id="17" dataBound="0" tableColumnId="27"/>
      <queryTableField id="16" dataBound="0" tableColumnId="28"/>
      <queryTableField id="15" dataBound="0" tableColumnId="29"/>
      <queryTableField id="14" dataBound="0" tableColumnId="30"/>
      <queryTableField id="13" dataBound="0" tableColumnId="31"/>
      <queryTableField id="12" dataBound="0" tableColumnId="32"/>
      <queryTableField id="11" dataBound="0" tableColumnId="33"/>
      <queryTableField id="10" dataBound="0" tableColumnId="34"/>
      <queryTableField id="9" dataBound="0" tableColumnId="35"/>
      <queryTableField id="36" dataBound="0" tableColumnId="36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18" unboundColumnsRight="14">
    <queryTableFields count="17">
      <queryTableField id="1" name="item_key" tableColumnId="1"/>
      <queryTableField id="2" name="itemNo" tableColumnId="2"/>
      <queryTableField id="3" name="itemName" tableColumnId="3"/>
      <queryTableField id="14" dataBound="0" tableColumnId="14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6" dataBound="0" tableColumnId="16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7" dataBound="0" tableColumnId="17"/>
      <queryTableField id="15" dataBound="0" tableColumnId="15"/>
    </queryTableFields>
  </queryTableRefresh>
</queryTable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item_key" tableColumnId="1"/>
      <queryTableField id="2" name="OpQt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able__192.168.3.138_Grn" displayName="Table__192.168.3.138_Grn" ref="A1:E28" tableType="queryTable" totalsRowShown="0">
  <autoFilter ref="A1:E28">
    <filterColumn colId="1">
      <filters>
        <filter val="18"/>
        <filter val="28"/>
        <filter val="29"/>
        <filter val="30"/>
        <filter val="31"/>
        <filter val="9"/>
      </filters>
    </filterColumn>
  </autoFilter>
  <tableColumns count="5">
    <tableColumn id="1" uniqueName="1" name="supcode" queryTableFieldId="1"/>
    <tableColumn id="2" uniqueName="2" name="DayNo" queryTableFieldId="2"/>
    <tableColumn id="3" uniqueName="3" name="item_key" queryTableFieldId="3"/>
    <tableColumn id="4" uniqueName="4" name="Qty" queryTableFieldId="6"/>
    <tableColumn id="5" uniqueName="5" name="RType" queryTableField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4:AL9" tableType="queryTable" headerRowDxfId="148" dataDxfId="147">
  <autoFilter ref="A4:AL9"/>
  <tableColumns count="38">
    <tableColumn id="39" uniqueName="39" name="VType" queryTableFieldId="109" dataDxfId="90"/>
    <tableColumn id="1" uniqueName="1" name="VendorName" totalsRowLabel="Total" queryTableFieldId="1" dataDxfId="89" totalsRowDxfId="146"/>
    <tableColumn id="2" uniqueName="2" name="Item_key" queryTableFieldId="2" dataDxfId="88" totalsRowDxfId="145"/>
    <tableColumn id="3" uniqueName="3" name="itemNo" queryTableFieldId="3" dataDxfId="87" totalsRowDxfId="144"/>
    <tableColumn id="4" uniqueName="4" name="itemName" queryTableFieldId="4" dataDxfId="86" totalsRowDxfId="143"/>
    <tableColumn id="5" uniqueName="5" name="RType" queryTableFieldId="76" dataDxfId="85" totalsRowDxfId="142"/>
    <tableColumn id="6" uniqueName="6" name="1" totalsRowFunction="sum" queryTableFieldId="77" dataDxfId="84" totalsRowDxfId="141">
      <calculatedColumnFormula>SUMIFS(GQList,GIList,Table_ExternalData_1[[#This Row],[Item_key]],GDList,Table_ExternalData_1[[#Headers],[1]])</calculatedColumnFormula>
    </tableColumn>
    <tableColumn id="7" uniqueName="7" name="2" totalsRowFunction="sum" queryTableFieldId="78" dataDxfId="83" totalsRowDxfId="140">
      <calculatedColumnFormula>SUMIFS(GQList,GIList,Table_ExternalData_1[[#This Row],[Item_key]],GDList,Table_ExternalData_1[[#Headers],[2]])</calculatedColumnFormula>
    </tableColumn>
    <tableColumn id="8" uniqueName="8" name="3" totalsRowFunction="sum" queryTableFieldId="79" dataDxfId="82" totalsRowDxfId="139">
      <calculatedColumnFormula>SUMIFS(GQList,GIList,Table_ExternalData_1[[#This Row],[Item_key]],GDList,Table_ExternalData_1[[#Headers],[3]])</calculatedColumnFormula>
    </tableColumn>
    <tableColumn id="9" uniqueName="9" name="4" totalsRowFunction="sum" queryTableFieldId="107" dataDxfId="81" totalsRowDxfId="138">
      <calculatedColumnFormula>SUMIFS(GQList,GIList,Table_ExternalData_1[[#This Row],[Item_key]],GDList,Table_ExternalData_1[[#Headers],[4]])</calculatedColumnFormula>
    </tableColumn>
    <tableColumn id="10" uniqueName="10" name="5" totalsRowFunction="sum" queryTableFieldId="106" dataDxfId="80" totalsRowDxfId="137">
      <calculatedColumnFormula>SUMIFS(GQList,GIList,Table_ExternalData_1[[#This Row],[Item_key]],GDList,Table_ExternalData_1[[#Headers],[5]])</calculatedColumnFormula>
    </tableColumn>
    <tableColumn id="11" uniqueName="11" name="6" queryTableFieldId="105" dataDxfId="79" totalsRowDxfId="136">
      <calculatedColumnFormula>SUMIFS(GQList,GIList,Table_ExternalData_1[[#This Row],[Item_key]],GDList,Table_ExternalData_1[[#Headers],[6]])</calculatedColumnFormula>
    </tableColumn>
    <tableColumn id="12" uniqueName="12" name="7" queryTableFieldId="104" dataDxfId="78" totalsRowDxfId="135">
      <calculatedColumnFormula>SUMIFS(GQList,GIList,Table_ExternalData_1[[#This Row],[Item_key]],GDList,Table_ExternalData_1[[#Headers],[7]])</calculatedColumnFormula>
    </tableColumn>
    <tableColumn id="13" uniqueName="13" name="8" queryTableFieldId="103" dataDxfId="77" totalsRowDxfId="134">
      <calculatedColumnFormula>SUMIFS(GQList,GIList,Table_ExternalData_1[[#This Row],[Item_key]],GDList,Table_ExternalData_1[[#Headers],[8]])</calculatedColumnFormula>
    </tableColumn>
    <tableColumn id="14" uniqueName="14" name="9" queryTableFieldId="102" dataDxfId="76" totalsRowDxfId="133">
      <calculatedColumnFormula>SUMIFS(GQList,GIList,Table_ExternalData_1[[#This Row],[Item_key]],GDList,Table_ExternalData_1[[#Headers],[9]])</calculatedColumnFormula>
    </tableColumn>
    <tableColumn id="15" uniqueName="15" name="10" queryTableFieldId="101" dataDxfId="75" totalsRowDxfId="132">
      <calculatedColumnFormula>SUMIFS(GQList,GIList,Table_ExternalData_1[[#This Row],[Item_key]],GDList,Table_ExternalData_1[[#Headers],[10]])</calculatedColumnFormula>
    </tableColumn>
    <tableColumn id="16" uniqueName="16" name="11" queryTableFieldId="100" dataDxfId="74" totalsRowDxfId="131">
      <calculatedColumnFormula>SUMIFS(GQList,GIList,Table_ExternalData_1[[#This Row],[Item_key]],GDList,Table_ExternalData_1[[#Headers],[11]])</calculatedColumnFormula>
    </tableColumn>
    <tableColumn id="17" uniqueName="17" name="12" queryTableFieldId="99" dataDxfId="73" totalsRowDxfId="130">
      <calculatedColumnFormula>SUMIFS(GQList,GIList,Table_ExternalData_1[[#This Row],[Item_key]],GDList,Table_ExternalData_1[[#Headers],[12]])</calculatedColumnFormula>
    </tableColumn>
    <tableColumn id="18" uniqueName="18" name="13" queryTableFieldId="98" dataDxfId="72" totalsRowDxfId="129">
      <calculatedColumnFormula>SUMIFS(GQList,GIList,Table_ExternalData_1[[#This Row],[Item_key]],GDList,Table_ExternalData_1[[#Headers],[13]])</calculatedColumnFormula>
    </tableColumn>
    <tableColumn id="19" uniqueName="19" name="14" queryTableFieldId="97" dataDxfId="71" totalsRowDxfId="128">
      <calculatedColumnFormula>SUMIFS(GQList,GIList,Table_ExternalData_1[[#This Row],[Item_key]],GDList,Table_ExternalData_1[[#Headers],[14]])</calculatedColumnFormula>
    </tableColumn>
    <tableColumn id="20" uniqueName="20" name="15" queryTableFieldId="96" dataDxfId="70" totalsRowDxfId="127">
      <calculatedColumnFormula>SUMIFS(GQList,GIList,Table_ExternalData_1[[#This Row],[Item_key]],GDList,Table_ExternalData_1[[#Headers],[15]])</calculatedColumnFormula>
    </tableColumn>
    <tableColumn id="21" uniqueName="21" name="16" queryTableFieldId="95" dataDxfId="69" totalsRowDxfId="126">
      <calculatedColumnFormula>SUMIFS(GQList,GIList,Table_ExternalData_1[[#This Row],[Item_key]],GDList,Table_ExternalData_1[[#Headers],[16]])</calculatedColumnFormula>
    </tableColumn>
    <tableColumn id="22" uniqueName="22" name="17" queryTableFieldId="94" dataDxfId="68" totalsRowDxfId="125">
      <calculatedColumnFormula>SUMIFS(GQList,GIList,Table_ExternalData_1[[#This Row],[Item_key]],GDList,Table_ExternalData_1[[#Headers],[17]])</calculatedColumnFormula>
    </tableColumn>
    <tableColumn id="23" uniqueName="23" name="18" queryTableFieldId="93" dataDxfId="67" totalsRowDxfId="124">
      <calculatedColumnFormula>SUMIFS(GQList,GIList,Table_ExternalData_1[[#This Row],[Item_key]],GDList,Table_ExternalData_1[[#Headers],[18]])</calculatedColumnFormula>
    </tableColumn>
    <tableColumn id="24" uniqueName="24" name="19" queryTableFieldId="92" dataDxfId="66" totalsRowDxfId="123">
      <calculatedColumnFormula>SUMIFS(GQList,GIList,Table_ExternalData_1[[#This Row],[Item_key]],GDList,Table_ExternalData_1[[#Headers],[19]])</calculatedColumnFormula>
    </tableColumn>
    <tableColumn id="25" uniqueName="25" name="20" queryTableFieldId="91" dataDxfId="65" totalsRowDxfId="122">
      <calculatedColumnFormula>SUMIFS(GQList,GIList,Table_ExternalData_1[[#This Row],[Item_key]],GDList,Table_ExternalData_1[[#Headers],[20]])</calculatedColumnFormula>
    </tableColumn>
    <tableColumn id="26" uniqueName="26" name="21" queryTableFieldId="90" dataDxfId="64" totalsRowDxfId="121">
      <calculatedColumnFormula>SUMIFS(GQList,GIList,Table_ExternalData_1[[#This Row],[Item_key]],GDList,Table_ExternalData_1[[#Headers],[21]])</calculatedColumnFormula>
    </tableColumn>
    <tableColumn id="27" uniqueName="27" name="22" queryTableFieldId="89" dataDxfId="63" totalsRowDxfId="120">
      <calculatedColumnFormula>SUMIFS(GQList,GIList,Table_ExternalData_1[[#This Row],[Item_key]],GDList,Table_ExternalData_1[[#Headers],[22]])</calculatedColumnFormula>
    </tableColumn>
    <tableColumn id="28" uniqueName="28" name="23" queryTableFieldId="88" dataDxfId="62" totalsRowDxfId="119">
      <calculatedColumnFormula>SUMIFS(GQList,GIList,Table_ExternalData_1[[#This Row],[Item_key]],GDList,Table_ExternalData_1[[#Headers],[23]])</calculatedColumnFormula>
    </tableColumn>
    <tableColumn id="29" uniqueName="29" name="24" queryTableFieldId="87" dataDxfId="61" totalsRowDxfId="118">
      <calculatedColumnFormula>SUMIFS(GQList,GIList,Table_ExternalData_1[[#This Row],[Item_key]],GDList,Table_ExternalData_1[[#Headers],[24]])</calculatedColumnFormula>
    </tableColumn>
    <tableColumn id="30" uniqueName="30" name="25" queryTableFieldId="86" dataDxfId="60" totalsRowDxfId="117">
      <calculatedColumnFormula>SUMIFS(GQList,GIList,Table_ExternalData_1[[#This Row],[Item_key]],GDList,Table_ExternalData_1[[#Headers],[25]])</calculatedColumnFormula>
    </tableColumn>
    <tableColumn id="31" uniqueName="31" name="26" queryTableFieldId="85" dataDxfId="59" totalsRowDxfId="116">
      <calculatedColumnFormula>SUMIFS(GQList,GIList,Table_ExternalData_1[[#This Row],[Item_key]],GDList,Table_ExternalData_1[[#Headers],[26]])</calculatedColumnFormula>
    </tableColumn>
    <tableColumn id="32" uniqueName="32" name="27" queryTableFieldId="84" dataDxfId="58" totalsRowDxfId="115">
      <calculatedColumnFormula>SUMIFS(GQList,GIList,Table_ExternalData_1[[#This Row],[Item_key]],GDList,Table_ExternalData_1[[#Headers],[27]])</calculatedColumnFormula>
    </tableColumn>
    <tableColumn id="33" uniqueName="33" name="28" queryTableFieldId="83" dataDxfId="57" totalsRowDxfId="114">
      <calculatedColumnFormula>SUMIFS(GQList,GIList,Table_ExternalData_1[[#This Row],[Item_key]],GDList,Table_ExternalData_1[[#Headers],[28]])</calculatedColumnFormula>
    </tableColumn>
    <tableColumn id="34" uniqueName="34" name="29" queryTableFieldId="82" dataDxfId="56" totalsRowDxfId="113">
      <calculatedColumnFormula>SUMIFS(GQList,GIList,Table_ExternalData_1[[#This Row],[Item_key]],GDList,Table_ExternalData_1[[#Headers],[29]])</calculatedColumnFormula>
    </tableColumn>
    <tableColumn id="35" uniqueName="35" name="30" queryTableFieldId="81" dataDxfId="55" totalsRowDxfId="112">
      <calculatedColumnFormula>SUMIFS(GQList,GIList,Table_ExternalData_1[[#This Row],[Item_key]],GDList,Table_ExternalData_1[[#Headers],[30]])</calculatedColumnFormula>
    </tableColumn>
    <tableColumn id="36" uniqueName="36" name="31" queryTableFieldId="80" dataDxfId="54" totalsRowDxfId="111">
      <calculatedColumnFormula>SUMIFS(GQList,GIList,Table_ExternalData_1[[#This Row],[Item_key]],GDList,Table_ExternalData_1[[#Headers],[31]])</calculatedColumnFormula>
    </tableColumn>
    <tableColumn id="37" uniqueName="37" name="Total" queryTableFieldId="108" dataDxfId="53" totalsRowDxfId="110">
      <calculatedColumnFormula>SUM(Table_ExternalData_1[[#This Row],[1]:[31]])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e_ExternalData_14" displayName="Table_ExternalData_14" ref="A1:D89" tableType="queryTable" totalsRowShown="0">
  <autoFilter ref="A1:D89">
    <filterColumn colId="0">
      <filters>
        <filter val="006-04347"/>
      </filters>
    </filterColumn>
    <filterColumn colId="1">
      <filters>
        <filter val="0"/>
      </filters>
    </filterColumn>
  </autoFilter>
  <tableColumns count="4">
    <tableColumn id="1" uniqueName="1" name="item_key" queryTableFieldId="1"/>
    <tableColumn id="2" uniqueName="2" name="DayNo" queryTableFieldId="2"/>
    <tableColumn id="4" uniqueName="4" name="IType" queryTableFieldId="4"/>
    <tableColumn id="5" uniqueName="5" name="Qty" queryTableField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_ExternalData_15" displayName="Table_ExternalData_15" ref="A4:AJ12" tableType="queryTable" totalsRowShown="0" headerRowDxfId="109" dataDxfId="108">
  <autoFilter ref="A4:AJ12">
    <filterColumn colId="0">
      <filters>
        <filter val="006-04141"/>
      </filters>
    </filterColumn>
  </autoFilter>
  <tableColumns count="36">
    <tableColumn id="1" uniqueName="1" name="item_key" queryTableFieldId="1" dataDxfId="52"/>
    <tableColumn id="2" uniqueName="2" name="itemNo" queryTableFieldId="2" dataDxfId="51"/>
    <tableColumn id="3" uniqueName="3" name="itemName" queryTableFieldId="3" dataDxfId="50"/>
    <tableColumn id="4" uniqueName="4" name="IType" queryTableFieldId="4" dataDxfId="49"/>
    <tableColumn id="5" uniqueName="5" name="1" queryTableFieldId="5" dataDxfId="48">
      <calculatedColumnFormula>SUMIFS(IsQList,IsIList,Table_ExternalData_15[[#This Row],[item_key]],IsITypeList,Table_ExternalData_15[[#This Row],[IType]],IsDList,Table_ExternalData_15[[#Headers],[1]])</calculatedColumnFormula>
    </tableColumn>
    <tableColumn id="6" uniqueName="6" name="2" queryTableFieldId="6" dataDxfId="47">
      <calculatedColumnFormula>SUMIFS(IsQList,IsIList,Table_ExternalData_15[[#This Row],[item_key]],IsITypeList,Table_ExternalData_15[[#This Row],[IType]],IsDList,Table_ExternalData_15[[#Headers],[2]])</calculatedColumnFormula>
    </tableColumn>
    <tableColumn id="7" uniqueName="7" name="3" queryTableFieldId="7" dataDxfId="46">
      <calculatedColumnFormula>SUMIFS(IsQList,IsIList,Table_ExternalData_15[[#This Row],[item_key]],IsITypeList,Table_ExternalData_15[[#This Row],[IType]],IsDList,Table_ExternalData_15[[#Headers],[3]])</calculatedColumnFormula>
    </tableColumn>
    <tableColumn id="8" uniqueName="8" name="4" queryTableFieldId="8" dataDxfId="45">
      <calculatedColumnFormula>SUMIFS(IsQList,IsIList,Table_ExternalData_15[[#This Row],[item_key]],IsITypeList,Table_ExternalData_15[[#This Row],[IType]],IsDList,Table_ExternalData_15[[#Headers],[4]])</calculatedColumnFormula>
    </tableColumn>
    <tableColumn id="9" uniqueName="9" name="5" queryTableFieldId="35" dataDxfId="44">
      <calculatedColumnFormula>SUMIFS(IsQList,IsIList,Table_ExternalData_15[[#This Row],[item_key]],IsITypeList,Table_ExternalData_15[[#This Row],[IType]],IsDList,Table_ExternalData_15[[#Headers],[5]])</calculatedColumnFormula>
    </tableColumn>
    <tableColumn id="10" uniqueName="10" name="6" queryTableFieldId="34" dataDxfId="43">
      <calculatedColumnFormula>SUMIFS(IsQList,IsIList,Table_ExternalData_15[[#This Row],[item_key]],IsITypeList,Table_ExternalData_15[[#This Row],[IType]],IsDList,Table_ExternalData_15[[#Headers],[6]])</calculatedColumnFormula>
    </tableColumn>
    <tableColumn id="11" uniqueName="11" name="7" queryTableFieldId="33" dataDxfId="42">
      <calculatedColumnFormula>SUMIFS(IsQList,IsIList,Table_ExternalData_15[[#This Row],[item_key]],IsITypeList,Table_ExternalData_15[[#This Row],[IType]],IsDList,Table_ExternalData_15[[#Headers],[7]])</calculatedColumnFormula>
    </tableColumn>
    <tableColumn id="12" uniqueName="12" name="8" queryTableFieldId="32" dataDxfId="41">
      <calculatedColumnFormula>SUMIFS(IsQList,IsIList,Table_ExternalData_15[[#This Row],[item_key]],IsITypeList,Table_ExternalData_15[[#This Row],[IType]],IsDList,Table_ExternalData_15[[#Headers],[8]])</calculatedColumnFormula>
    </tableColumn>
    <tableColumn id="13" uniqueName="13" name="9" queryTableFieldId="31" dataDxfId="40">
      <calculatedColumnFormula>SUMIFS(IsQList,IsIList,Table_ExternalData_15[[#This Row],[item_key]],IsITypeList,Table_ExternalData_15[[#This Row],[IType]],IsDList,Table_ExternalData_15[[#Headers],[9]])</calculatedColumnFormula>
    </tableColumn>
    <tableColumn id="14" uniqueName="14" name="10" queryTableFieldId="30" dataDxfId="39">
      <calculatedColumnFormula>SUMIFS(IsQList,IsIList,Table_ExternalData_15[[#This Row],[item_key]],IsITypeList,Table_ExternalData_15[[#This Row],[IType]],IsDList,Table_ExternalData_15[[#Headers],[10]])</calculatedColumnFormula>
    </tableColumn>
    <tableColumn id="15" uniqueName="15" name="11" queryTableFieldId="29" dataDxfId="38">
      <calculatedColumnFormula>SUMIFS(IsQList,IsIList,Table_ExternalData_15[[#This Row],[item_key]],IsITypeList,Table_ExternalData_15[[#This Row],[IType]],IsDList,Table_ExternalData_15[[#Headers],[11]])</calculatedColumnFormula>
    </tableColumn>
    <tableColumn id="16" uniqueName="16" name="12" queryTableFieldId="28" dataDxfId="37">
      <calculatedColumnFormula>SUMIFS(IsQList,IsIList,Table_ExternalData_15[[#This Row],[item_key]],IsITypeList,Table_ExternalData_15[[#This Row],[IType]],IsDList,Table_ExternalData_15[[#Headers],[12]])</calculatedColumnFormula>
    </tableColumn>
    <tableColumn id="17" uniqueName="17" name="13" queryTableFieldId="27" dataDxfId="36">
      <calculatedColumnFormula>SUMIFS(IsQList,IsIList,Table_ExternalData_15[[#This Row],[item_key]],IsITypeList,Table_ExternalData_15[[#This Row],[IType]],IsDList,Table_ExternalData_15[[#Headers],[13]])</calculatedColumnFormula>
    </tableColumn>
    <tableColumn id="18" uniqueName="18" name="14" queryTableFieldId="26" dataDxfId="35">
      <calculatedColumnFormula>SUMIFS(IsQList,IsIList,Table_ExternalData_15[[#This Row],[item_key]],IsITypeList,Table_ExternalData_15[[#This Row],[IType]],IsDList,Table_ExternalData_15[[#Headers],[14]])</calculatedColumnFormula>
    </tableColumn>
    <tableColumn id="19" uniqueName="19" name="15" queryTableFieldId="25" dataDxfId="34">
      <calculatedColumnFormula>SUMIFS(IsQList,IsIList,Table_ExternalData_15[[#This Row],[item_key]],IsITypeList,Table_ExternalData_15[[#This Row],[IType]],IsDList,Table_ExternalData_15[[#Headers],[15]])</calculatedColumnFormula>
    </tableColumn>
    <tableColumn id="20" uniqueName="20" name="16" queryTableFieldId="24" dataDxfId="33">
      <calculatedColumnFormula>SUMIFS(IsQList,IsIList,Table_ExternalData_15[[#This Row],[item_key]],IsITypeList,Table_ExternalData_15[[#This Row],[IType]],IsDList,Table_ExternalData_15[[#Headers],[16]])</calculatedColumnFormula>
    </tableColumn>
    <tableColumn id="21" uniqueName="21" name="17" queryTableFieldId="23" dataDxfId="32">
      <calculatedColumnFormula>SUMIFS(IsQList,IsIList,Table_ExternalData_15[[#This Row],[item_key]],IsITypeList,Table_ExternalData_15[[#This Row],[IType]],IsDList,Table_ExternalData_15[[#Headers],[17]])</calculatedColumnFormula>
    </tableColumn>
    <tableColumn id="22" uniqueName="22" name="18" queryTableFieldId="22" dataDxfId="31">
      <calculatedColumnFormula>SUMIFS(IsQList,IsIList,Table_ExternalData_15[[#This Row],[item_key]],IsITypeList,Table_ExternalData_15[[#This Row],[IType]],IsDList,Table_ExternalData_15[[#Headers],[18]])</calculatedColumnFormula>
    </tableColumn>
    <tableColumn id="23" uniqueName="23" name="19" queryTableFieldId="21" dataDxfId="30">
      <calculatedColumnFormula>SUMIFS(IsQList,IsIList,Table_ExternalData_15[[#This Row],[item_key]],IsITypeList,Table_ExternalData_15[[#This Row],[IType]],IsDList,Table_ExternalData_15[[#Headers],[19]])</calculatedColumnFormula>
    </tableColumn>
    <tableColumn id="24" uniqueName="24" name="20" queryTableFieldId="20" dataDxfId="29">
      <calculatedColumnFormula>SUMIFS(IsQList,IsIList,Table_ExternalData_15[[#This Row],[item_key]],IsITypeList,Table_ExternalData_15[[#This Row],[IType]],IsDList,Table_ExternalData_15[[#Headers],[20]])</calculatedColumnFormula>
    </tableColumn>
    <tableColumn id="25" uniqueName="25" name="21" queryTableFieldId="19" dataDxfId="28">
      <calculatedColumnFormula>SUMIFS(IsQList,IsIList,Table_ExternalData_15[[#This Row],[item_key]],IsITypeList,Table_ExternalData_15[[#This Row],[IType]],IsDList,Table_ExternalData_15[[#Headers],[21]])</calculatedColumnFormula>
    </tableColumn>
    <tableColumn id="26" uniqueName="26" name="22" queryTableFieldId="18" dataDxfId="27">
      <calculatedColumnFormula>SUMIFS(IsQList,IsIList,Table_ExternalData_15[[#This Row],[item_key]],IsITypeList,Table_ExternalData_15[[#This Row],[IType]],IsDList,Table_ExternalData_15[[#Headers],[22]])</calculatedColumnFormula>
    </tableColumn>
    <tableColumn id="27" uniqueName="27" name="23" queryTableFieldId="17" dataDxfId="26">
      <calculatedColumnFormula>SUMIFS(IsQList,IsIList,Table_ExternalData_15[[#This Row],[item_key]],IsITypeList,Table_ExternalData_15[[#This Row],[IType]],IsDList,Table_ExternalData_15[[#Headers],[23]])</calculatedColumnFormula>
    </tableColumn>
    <tableColumn id="28" uniqueName="28" name="24" queryTableFieldId="16" dataDxfId="25">
      <calculatedColumnFormula>SUMIFS(IsQList,IsIList,Table_ExternalData_15[[#This Row],[item_key]],IsITypeList,Table_ExternalData_15[[#This Row],[IType]],IsDList,Table_ExternalData_15[[#Headers],[24]])</calculatedColumnFormula>
    </tableColumn>
    <tableColumn id="29" uniqueName="29" name="25" queryTableFieldId="15" dataDxfId="24">
      <calculatedColumnFormula>SUMIFS(IsQList,IsIList,Table_ExternalData_15[[#This Row],[item_key]],IsITypeList,Table_ExternalData_15[[#This Row],[IType]],IsDList,Table_ExternalData_15[[#Headers],[25]])</calculatedColumnFormula>
    </tableColumn>
    <tableColumn id="30" uniqueName="30" name="26" queryTableFieldId="14" dataDxfId="23">
      <calculatedColumnFormula>SUMIFS(IsQList,IsIList,Table_ExternalData_15[[#This Row],[item_key]],IsITypeList,Table_ExternalData_15[[#This Row],[IType]],IsDList,Table_ExternalData_15[[#Headers],[26]])</calculatedColumnFormula>
    </tableColumn>
    <tableColumn id="31" uniqueName="31" name="27" queryTableFieldId="13" dataDxfId="22">
      <calculatedColumnFormula>SUMIFS(IsQList,IsIList,Table_ExternalData_15[[#This Row],[item_key]],IsITypeList,Table_ExternalData_15[[#This Row],[IType]],IsDList,Table_ExternalData_15[[#Headers],[27]])</calculatedColumnFormula>
    </tableColumn>
    <tableColumn id="32" uniqueName="32" name="28" queryTableFieldId="12" dataDxfId="21">
      <calculatedColumnFormula>SUMIFS(IsQList,IsIList,Table_ExternalData_15[[#This Row],[item_key]],IsITypeList,Table_ExternalData_15[[#This Row],[IType]],IsDList,Table_ExternalData_15[[#Headers],[28]])</calculatedColumnFormula>
    </tableColumn>
    <tableColumn id="33" uniqueName="33" name="29" queryTableFieldId="11" dataDxfId="20">
      <calculatedColumnFormula>SUMIFS(IsQList,IsIList,Table_ExternalData_15[[#This Row],[item_key]],IsITypeList,Table_ExternalData_15[[#This Row],[IType]],IsDList,Table_ExternalData_15[[#Headers],[29]])</calculatedColumnFormula>
    </tableColumn>
    <tableColumn id="34" uniqueName="34" name="30" queryTableFieldId="10" dataDxfId="19">
      <calculatedColumnFormula>SUMIFS(IsQList,IsIList,Table_ExternalData_15[[#This Row],[item_key]],IsITypeList,Table_ExternalData_15[[#This Row],[IType]],IsDList,Table_ExternalData_15[[#Headers],[30]])</calculatedColumnFormula>
    </tableColumn>
    <tableColumn id="35" uniqueName="35" name="31" queryTableFieldId="9" dataDxfId="18">
      <calculatedColumnFormula>SUMIFS(IsQList,IsIList,Table_ExternalData_15[[#This Row],[item_key]],IsITypeList,Table_ExternalData_15[[#This Row],[IType]],IsDList,Table_ExternalData_15[[#Headers],[31]])</calculatedColumnFormula>
    </tableColumn>
    <tableColumn id="36" uniqueName="36" name="Total" queryTableFieldId="36" dataDxfId="17">
      <calculatedColumnFormula>SUM(Table_ExternalData_15[[#This Row],[1]:[31]])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6" name="Table_ExternalData_17" displayName="Table_ExternalData_17" ref="A4:Q9" tableType="queryTable" totalsRowShown="0" headerRowDxfId="107" dataDxfId="106">
  <autoFilter ref="A4:Q9"/>
  <tableColumns count="17">
    <tableColumn id="1" uniqueName="1" name="item_key" queryTableFieldId="1" dataDxfId="16"/>
    <tableColumn id="2" uniqueName="2" name="itemNo" queryTableFieldId="2" dataDxfId="15"/>
    <tableColumn id="3" uniqueName="3" name="itemName" queryTableFieldId="3" dataDxfId="14"/>
    <tableColumn id="14" uniqueName="14" name="Opening" queryTableFieldId="14" dataDxfId="13">
      <calculatedColumnFormula>SUMIFS(OPBQList,OPBIList,Table_ExternalData_17[[#This Row],[item_key]])+SUMIFS(GQList,GIList,Table_ExternalData_17[[#This Row],[item_key]],GDList,0)-ABS(SUMIFS(IsQList,IsIList,Table_ExternalData_17[[#This Row],[item_key]],IsDList,0))</calculatedColumnFormula>
    </tableColumn>
    <tableColumn id="4" uniqueName="4" name="GRN" queryTableFieldId="4" dataDxfId="12">
      <calculatedColumnFormula>SUMIFS(GQList,GIList,Table_ExternalData_17[[#This Row],[item_key]],GTList,Table_ExternalData_17[[#Headers],[GRN]],GDList,"&lt;&gt;"&amp;0)</calculatedColumnFormula>
    </tableColumn>
    <tableColumn id="5" uniqueName="5" name="VSTR" queryTableFieldId="5" dataDxfId="11">
      <calculatedColumnFormula>SUMIFS(GQList,GIList,Table_ExternalData_17[[#This Row],[item_key]],GTList,Table_ExternalData_17[[#Headers],[VSTR]],GDList,"&lt;&gt;"&amp;0)</calculatedColumnFormula>
    </tableColumn>
    <tableColumn id="6" uniqueName="6" name="SR" queryTableFieldId="6" dataDxfId="10">
      <calculatedColumnFormula>SUMIFS(GQList,GIList,Table_ExternalData_17[[#This Row],[item_key]],GTList,Table_ExternalData_17[[#Headers],[SR]],GDList,"&lt;&gt;"&amp;0)</calculatedColumnFormula>
    </tableColumn>
    <tableColumn id="7" uniqueName="7" name="TR" queryTableFieldId="7" dataDxfId="9">
      <calculatedColumnFormula>SUMIFS(GQList,GIList,Table_ExternalData_17[[#This Row],[item_key]],GTList,Table_ExternalData_17[[#Headers],[TR]],GDList,"&lt;&gt;"&amp;0)</calculatedColumnFormula>
    </tableColumn>
    <tableColumn id="8" uniqueName="8" name="RCA" queryTableFieldId="8" dataDxfId="8">
      <calculatedColumnFormula>SUMIFS(GQList,GIList,Table_ExternalData_17[[#This Row],[item_key]],GTList,Table_ExternalData_17[[#Headers],[RCA]],GDList,"&lt;&gt;"&amp;0)</calculatedColumnFormula>
    </tableColumn>
    <tableColumn id="16" uniqueName="16" name="Total Receipt" queryTableFieldId="16" dataDxfId="0">
      <calculatedColumnFormula>SUM(Table_ExternalData_17[[#This Row],[GRN]]+Table_ExternalData_17[[#This Row],[VSTR]]+Table_ExternalData_17[[#This Row],[SR]]+Table_ExternalData_17[[#This Row],[TR]]+Table_ExternalData_17[[#This Row],[RCA]])</calculatedColumnFormula>
    </tableColumn>
    <tableColumn id="9" uniqueName="9" name="R/P" queryTableFieldId="9" dataDxfId="3">
      <calculatedColumnFormula>SUMIFS(IsQList,IsIList,Table_ExternalData_17[[#This Row],[item_key]],IsITypeList,Table_ExternalData_17[[#Headers],[R/P]],IsDList,"&lt;&gt;"&amp;0)</calculatedColumnFormula>
    </tableColumn>
    <tableColumn id="10" uniqueName="10" name="CST" queryTableFieldId="10" dataDxfId="7">
      <calculatedColumnFormula>SUMIFS(IsQList,IsIList,Table_ExternalData_15[[#This Row],[item_key]],IsITypeList,Table_ExternalData_17[[#Headers],[CST]],IsDList,"&lt;&gt;"&amp;0)</calculatedColumnFormula>
    </tableColumn>
    <tableColumn id="11" uniqueName="11" name="S/I" queryTableFieldId="11" dataDxfId="6">
      <calculatedColumnFormula>SUMIFS(IsQList,IsIList,Table_ExternalData_15[[#This Row],[item_key]],IsITypeList,Table_ExternalData_17[[#Headers],[S/I]],IsDList,"&lt;&gt;"&amp;0)</calculatedColumnFormula>
    </tableColumn>
    <tableColumn id="12" uniqueName="12" name="VST" queryTableFieldId="12" dataDxfId="5">
      <calculatedColumnFormula>SUMIFS(IsQList,IsIList,Table_ExternalData_15[[#This Row],[item_key]],IsITypeList,Table_ExternalData_17[[#Headers],[VST]],IsDList,"&lt;&gt;"&amp;0)</calculatedColumnFormula>
    </tableColumn>
    <tableColumn id="13" uniqueName="13" name="RTN" queryTableFieldId="13" dataDxfId="1">
      <calculatedColumnFormula>ABS(SUMIFS(IsQList,IsIList,Table_ExternalData_17[[#This Row],[item_key]],IsITypeList,Table_ExternalData_17[[#Headers],[RTN]],IsDList,"&lt;&gt;"&amp;0))</calculatedColumnFormula>
    </tableColumn>
    <tableColumn id="17" uniqueName="17" name="Total Issue" queryTableFieldId="17" dataDxfId="4">
      <calculatedColumnFormula>SUM(Table_ExternalData_17[[#This Row],[R/P]:[RTN]])</calculatedColumnFormula>
    </tableColumn>
    <tableColumn id="15" uniqueName="15" name="Closing Balance" queryTableFieldId="15" dataDxfId="2">
      <calculatedColumnFormula>SUM((Table_ExternalData_17[[#This Row],[Opening]]+Table_ExternalData_17[[#This Row],[Total Receipt]])-ABS(Table_ExternalData_17[[#This Row],[Total Issue]]))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5" name="Table_ExternalData_16" displayName="Table_ExternalData_16" ref="A1:B6" tableType="queryTable" totalsRowShown="0">
  <autoFilter ref="A1:B6"/>
  <tableColumns count="2">
    <tableColumn id="1" uniqueName="1" name="item_key" queryTableFieldId="1"/>
    <tableColumn id="2" uniqueName="2" name="OpQty" queryTableField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J16" sqref="J16"/>
    </sheetView>
  </sheetViews>
  <sheetFormatPr defaultRowHeight="15"/>
  <cols>
    <col min="1" max="1" width="10.7109375" bestFit="1" customWidth="1"/>
    <col min="3" max="3" width="11.5703125" bestFit="1" customWidth="1"/>
    <col min="4" max="4" width="6.42578125" customWidth="1"/>
    <col min="5" max="5" width="8.7109375" bestFit="1" customWidth="1"/>
    <col min="6" max="6" width="10.85546875" bestFit="1" customWidth="1"/>
    <col min="7" max="7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23</v>
      </c>
      <c r="E1" t="s">
        <v>24</v>
      </c>
    </row>
    <row r="2" spans="1:5" hidden="1">
      <c r="A2" t="s">
        <v>7</v>
      </c>
      <c r="B2">
        <v>3</v>
      </c>
      <c r="C2" t="s">
        <v>9</v>
      </c>
      <c r="D2">
        <v>1000</v>
      </c>
      <c r="E2" t="s">
        <v>25</v>
      </c>
    </row>
    <row r="3" spans="1:5" hidden="1">
      <c r="A3" t="s">
        <v>4</v>
      </c>
      <c r="B3">
        <v>6</v>
      </c>
      <c r="C3" t="s">
        <v>8</v>
      </c>
      <c r="D3">
        <v>529</v>
      </c>
      <c r="E3" t="s">
        <v>25</v>
      </c>
    </row>
    <row r="4" spans="1:5">
      <c r="A4" t="s">
        <v>7</v>
      </c>
      <c r="B4">
        <v>9</v>
      </c>
      <c r="C4" t="s">
        <v>9</v>
      </c>
      <c r="D4">
        <v>400</v>
      </c>
      <c r="E4" t="s">
        <v>25</v>
      </c>
    </row>
    <row r="5" spans="1:5">
      <c r="A5" t="s">
        <v>5</v>
      </c>
      <c r="B5">
        <v>9</v>
      </c>
      <c r="C5" t="s">
        <v>6</v>
      </c>
      <c r="D5">
        <v>14</v>
      </c>
      <c r="E5" t="s">
        <v>25</v>
      </c>
    </row>
    <row r="6" spans="1:5">
      <c r="A6" t="s">
        <v>3</v>
      </c>
      <c r="B6">
        <v>9</v>
      </c>
      <c r="C6" t="s">
        <v>6</v>
      </c>
      <c r="D6">
        <v>45</v>
      </c>
      <c r="E6" t="s">
        <v>25</v>
      </c>
    </row>
    <row r="7" spans="1:5" hidden="1">
      <c r="A7" t="s">
        <v>7</v>
      </c>
      <c r="B7">
        <v>11</v>
      </c>
      <c r="C7" t="s">
        <v>9</v>
      </c>
      <c r="D7">
        <v>500</v>
      </c>
      <c r="E7" t="s">
        <v>25</v>
      </c>
    </row>
    <row r="8" spans="1:5">
      <c r="A8" t="s">
        <v>5</v>
      </c>
      <c r="B8">
        <v>18</v>
      </c>
      <c r="C8" t="s">
        <v>6</v>
      </c>
      <c r="D8">
        <v>268</v>
      </c>
      <c r="E8" t="s">
        <v>25</v>
      </c>
    </row>
    <row r="9" spans="1:5" hidden="1">
      <c r="A9" t="s">
        <v>7</v>
      </c>
      <c r="B9">
        <v>24</v>
      </c>
      <c r="C9" t="s">
        <v>9</v>
      </c>
      <c r="D9">
        <v>300</v>
      </c>
      <c r="E9" t="s">
        <v>25</v>
      </c>
    </row>
    <row r="10" spans="1:5" hidden="1">
      <c r="A10" t="s">
        <v>7</v>
      </c>
      <c r="B10">
        <v>25</v>
      </c>
      <c r="C10" t="s">
        <v>9</v>
      </c>
      <c r="D10">
        <v>200</v>
      </c>
      <c r="E10" t="s">
        <v>25</v>
      </c>
    </row>
    <row r="11" spans="1:5" hidden="1">
      <c r="A11" t="s">
        <v>95</v>
      </c>
      <c r="B11">
        <v>27</v>
      </c>
      <c r="C11" t="s">
        <v>9</v>
      </c>
      <c r="D11">
        <v>300</v>
      </c>
      <c r="E11" t="s">
        <v>25</v>
      </c>
    </row>
    <row r="12" spans="1:5" hidden="1">
      <c r="B12">
        <v>27</v>
      </c>
      <c r="C12" t="s">
        <v>82</v>
      </c>
      <c r="D12">
        <v>7392</v>
      </c>
      <c r="E12" t="s">
        <v>25</v>
      </c>
    </row>
    <row r="13" spans="1:5">
      <c r="A13" t="s">
        <v>7</v>
      </c>
      <c r="B13">
        <v>28</v>
      </c>
      <c r="C13" t="s">
        <v>9</v>
      </c>
      <c r="D13">
        <v>300</v>
      </c>
      <c r="E13" t="s">
        <v>25</v>
      </c>
    </row>
    <row r="14" spans="1:5">
      <c r="A14" t="s">
        <v>5</v>
      </c>
      <c r="B14">
        <v>28</v>
      </c>
      <c r="C14" t="s">
        <v>6</v>
      </c>
      <c r="D14">
        <v>697</v>
      </c>
      <c r="E14" t="s">
        <v>25</v>
      </c>
    </row>
    <row r="15" spans="1:5">
      <c r="A15" t="s">
        <v>7</v>
      </c>
      <c r="B15">
        <v>29</v>
      </c>
      <c r="C15" t="s">
        <v>9</v>
      </c>
      <c r="D15">
        <v>300</v>
      </c>
      <c r="E15" t="s">
        <v>25</v>
      </c>
    </row>
    <row r="16" spans="1:5">
      <c r="A16" t="s">
        <v>5</v>
      </c>
      <c r="B16">
        <v>29</v>
      </c>
      <c r="C16" t="s">
        <v>6</v>
      </c>
      <c r="D16">
        <v>2013</v>
      </c>
      <c r="E16" t="s">
        <v>25</v>
      </c>
    </row>
    <row r="17" spans="1:5">
      <c r="A17" t="s">
        <v>3</v>
      </c>
      <c r="B17">
        <v>29</v>
      </c>
      <c r="C17" t="s">
        <v>6</v>
      </c>
      <c r="D17">
        <v>340</v>
      </c>
      <c r="E17" t="s">
        <v>25</v>
      </c>
    </row>
    <row r="18" spans="1:5">
      <c r="A18" t="s">
        <v>5</v>
      </c>
      <c r="B18">
        <v>30</v>
      </c>
      <c r="C18" t="s">
        <v>6</v>
      </c>
      <c r="D18">
        <v>942</v>
      </c>
      <c r="E18" t="s">
        <v>25</v>
      </c>
    </row>
    <row r="19" spans="1:5">
      <c r="A19" t="s">
        <v>5</v>
      </c>
      <c r="B19">
        <v>31</v>
      </c>
      <c r="C19" t="s">
        <v>6</v>
      </c>
      <c r="D19">
        <v>233</v>
      </c>
      <c r="E19" t="s">
        <v>25</v>
      </c>
    </row>
    <row r="20" spans="1:5">
      <c r="B20">
        <v>31</v>
      </c>
      <c r="C20" t="s">
        <v>82</v>
      </c>
      <c r="D20">
        <v>2257</v>
      </c>
      <c r="E20" t="s">
        <v>25</v>
      </c>
    </row>
    <row r="21" spans="1:5">
      <c r="A21" t="s">
        <v>3</v>
      </c>
      <c r="B21">
        <v>31</v>
      </c>
      <c r="C21" t="s">
        <v>9</v>
      </c>
      <c r="D21">
        <v>270</v>
      </c>
      <c r="E21" t="s">
        <v>25</v>
      </c>
    </row>
    <row r="22" spans="1:5">
      <c r="A22" t="s">
        <v>3</v>
      </c>
      <c r="B22">
        <v>31</v>
      </c>
      <c r="C22" t="s">
        <v>9</v>
      </c>
      <c r="D22">
        <v>200</v>
      </c>
      <c r="E22" t="s">
        <v>25</v>
      </c>
    </row>
    <row r="23" spans="1:5">
      <c r="A23" t="s">
        <v>95</v>
      </c>
      <c r="B23">
        <v>31</v>
      </c>
      <c r="C23" t="s">
        <v>9</v>
      </c>
      <c r="D23">
        <v>300</v>
      </c>
      <c r="E23" t="s">
        <v>25</v>
      </c>
    </row>
    <row r="24" spans="1:5" hidden="1">
      <c r="A24" t="s">
        <v>96</v>
      </c>
      <c r="B24">
        <v>0</v>
      </c>
      <c r="C24" t="s">
        <v>8</v>
      </c>
      <c r="D24">
        <v>1300</v>
      </c>
      <c r="E24" t="s">
        <v>25</v>
      </c>
    </row>
    <row r="25" spans="1:5" hidden="1">
      <c r="A25" t="s">
        <v>96</v>
      </c>
      <c r="B25">
        <v>0</v>
      </c>
      <c r="C25" t="s">
        <v>9</v>
      </c>
      <c r="D25">
        <v>1100</v>
      </c>
      <c r="E25" t="s">
        <v>25</v>
      </c>
    </row>
    <row r="26" spans="1:5" hidden="1">
      <c r="A26" t="s">
        <v>96</v>
      </c>
      <c r="B26">
        <v>0</v>
      </c>
      <c r="C26" t="s">
        <v>6</v>
      </c>
      <c r="D26">
        <v>4150</v>
      </c>
      <c r="E26" t="s">
        <v>25</v>
      </c>
    </row>
    <row r="27" spans="1:5">
      <c r="A27" t="s">
        <v>3</v>
      </c>
      <c r="B27">
        <v>28</v>
      </c>
      <c r="C27" t="s">
        <v>6</v>
      </c>
      <c r="D27">
        <v>-44</v>
      </c>
      <c r="E27" t="s">
        <v>26</v>
      </c>
    </row>
    <row r="28" spans="1:5" hidden="1">
      <c r="A28" t="s">
        <v>96</v>
      </c>
      <c r="B28">
        <v>0</v>
      </c>
      <c r="C28" t="s">
        <v>6</v>
      </c>
      <c r="D28">
        <v>-100</v>
      </c>
      <c r="E28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L9"/>
  <sheetViews>
    <sheetView workbookViewId="0">
      <pane xSplit="6" ySplit="4" topLeftCell="V5" activePane="bottomRight" state="frozen"/>
      <selection pane="topRight" activeCell="G1" sqref="G1"/>
      <selection pane="bottomLeft" activeCell="A5" sqref="A5"/>
      <selection pane="bottomRight" activeCell="E14" sqref="E14"/>
    </sheetView>
  </sheetViews>
  <sheetFormatPr defaultRowHeight="12"/>
  <cols>
    <col min="1" max="1" width="7.7109375" style="1" bestFit="1" customWidth="1"/>
    <col min="2" max="2" width="37.5703125" style="2" customWidth="1"/>
    <col min="3" max="3" width="10" style="2" bestFit="1" customWidth="1"/>
    <col min="4" max="4" width="13.42578125" style="2" customWidth="1"/>
    <col min="5" max="5" width="26" style="4" customWidth="1"/>
    <col min="6" max="6" width="5.42578125" style="4" bestFit="1" customWidth="1"/>
    <col min="7" max="8" width="4.140625" style="1" customWidth="1"/>
    <col min="9" max="9" width="4.42578125" style="1" customWidth="1"/>
    <col min="10" max="13" width="4.140625" style="1" customWidth="1"/>
    <col min="14" max="14" width="4.140625" style="1" bestFit="1" customWidth="1"/>
    <col min="15" max="15" width="4.140625" style="1" customWidth="1"/>
    <col min="16" max="16" width="5" style="1" customWidth="1"/>
    <col min="17" max="17" width="5" style="1" bestFit="1" customWidth="1"/>
    <col min="18" max="18" width="5" style="1" customWidth="1"/>
    <col min="19" max="19" width="5" style="1" bestFit="1" customWidth="1"/>
    <col min="20" max="20" width="5" style="1" customWidth="1"/>
    <col min="21" max="21" width="5" style="1" bestFit="1" customWidth="1"/>
    <col min="22" max="23" width="5" style="1" customWidth="1"/>
    <col min="24" max="25" width="5" style="1" bestFit="1" customWidth="1"/>
    <col min="26" max="26" width="5" style="1" customWidth="1"/>
    <col min="27" max="27" width="5" style="1" bestFit="1" customWidth="1"/>
    <col min="28" max="28" width="5" style="1" customWidth="1"/>
    <col min="29" max="29" width="5" style="1" bestFit="1" customWidth="1"/>
    <col min="30" max="31" width="5" style="1" customWidth="1"/>
    <col min="32" max="32" width="5" style="1" bestFit="1" customWidth="1"/>
    <col min="33" max="33" width="5" style="1" customWidth="1"/>
    <col min="34" max="34" width="5" style="1" bestFit="1" customWidth="1"/>
    <col min="35" max="37" width="5" style="1" customWidth="1"/>
    <col min="38" max="38" width="6.85546875" style="1" customWidth="1"/>
    <col min="39" max="16384" width="9.140625" style="1"/>
  </cols>
  <sheetData>
    <row r="1" spans="1:38" ht="27" thickBot="1">
      <c r="A1" s="32" t="s">
        <v>58</v>
      </c>
      <c r="B1" s="32"/>
      <c r="G1" s="34" t="s">
        <v>89</v>
      </c>
      <c r="H1" s="34"/>
      <c r="I1" s="34"/>
      <c r="J1" s="34"/>
      <c r="K1" s="34"/>
      <c r="L1" s="13" t="s">
        <v>25</v>
      </c>
      <c r="M1" s="21" t="s">
        <v>71</v>
      </c>
      <c r="N1" s="20" t="s">
        <v>26</v>
      </c>
      <c r="O1" s="18" t="s">
        <v>90</v>
      </c>
      <c r="P1" s="19" t="s">
        <v>88</v>
      </c>
    </row>
    <row r="2" spans="1:38" ht="13.5" thickTop="1">
      <c r="D2" s="33" t="s">
        <v>75</v>
      </c>
      <c r="E2" s="33"/>
    </row>
    <row r="3" spans="1:38" ht="30.75" customHeight="1">
      <c r="G3" s="7" t="str">
        <f>MID(CHOOSE(WEEKDAY(DATE(MasterSheet!$B1,MasterSheet!$A1,Table_ExternalData_1[[#Headers],[1]])),"Sunday","Monday","Tuesday","Wednesday","Thursday","Friday","Saturday"),1,3)</f>
        <v>Wed</v>
      </c>
      <c r="H3" s="7" t="str">
        <f>MID(CHOOSE(WEEKDAY(DATE(MasterSheet!$B1,MasterSheet!$A1,Table_ExternalData_1[[#Headers],[2]])),"Sunday","Monday","Tuesday","Wednesday","Thursday","Friday","Saturday"),1,3)</f>
        <v>Thu</v>
      </c>
      <c r="I3" s="7" t="str">
        <f>MID(CHOOSE(WEEKDAY(DATE(MasterSheet!$B1,MasterSheet!$A1,Table_ExternalData_1[[#Headers],[3]])),"Sunday","Monday","Tuesday","Wednesday","Thursday","Friday","Saturday"),1,3)</f>
        <v>Fri</v>
      </c>
      <c r="J3" s="7" t="str">
        <f>MID(CHOOSE(WEEKDAY(DATE(MasterSheet!$B1,MasterSheet!$A1,Table_ExternalData_1[[#Headers],[4]])),"Sunday","Monday","Tuesday","Wednesday","Thursday","Friday","Saturday"),1,3)</f>
        <v>Sat</v>
      </c>
      <c r="K3" s="7" t="str">
        <f>MID(CHOOSE(WEEKDAY(DATE(MasterSheet!$B1,MasterSheet!$A1,Table_ExternalData_1[[#Headers],[5]])),"Sunday","Monday","Tuesday","Wednesday","Thursday","Friday","Saturday"),1,3)</f>
        <v>Sun</v>
      </c>
      <c r="L3" s="7" t="str">
        <f>MID(CHOOSE(WEEKDAY(DATE(MasterSheet!$B1,MasterSheet!$A1,Table_ExternalData_1[[#Headers],[2]])),"Sunday","Monday","Tuesday","Wednesday","Thursday","Friday","Saturday"),1,3)</f>
        <v>Thu</v>
      </c>
      <c r="M3" s="7" t="str">
        <f>MID(CHOOSE(WEEKDAY(DATE(MasterSheet!$B1,MasterSheet!$A1,Table_ExternalData_1[[#Headers],[3]])),"Sunday","Monday","Tuesday","Wednesday","Thursday","Friday","Saturday"),1,3)</f>
        <v>Fri</v>
      </c>
      <c r="N3" s="7" t="str">
        <f>MID(CHOOSE(WEEKDAY(DATE(MasterSheet!$B1,MasterSheet!$A1,Table_ExternalData_1[[#Headers],[4]])),"Sunday","Monday","Tuesday","Wednesday","Thursday","Friday","Saturday"),1,3)</f>
        <v>Sat</v>
      </c>
      <c r="O3" s="7" t="str">
        <f>MID(CHOOSE(WEEKDAY(DATE(MasterSheet!$B1,MasterSheet!$A1,Table_ExternalData_1[[#Headers],[5]])),"Sunday","Monday","Tuesday","Wednesday","Thursday","Friday","Saturday"),1,3)</f>
        <v>Sun</v>
      </c>
      <c r="P3" s="7" t="str">
        <f>MID(CHOOSE(WEEKDAY(DATE(MasterSheet!$B1,MasterSheet!$A1,Table_ExternalData_1[[#Headers],[6]])),"Sunday","Monday","Tuesday","Wednesday","Thursday","Friday","Saturday"),1,3)</f>
        <v>Mon</v>
      </c>
      <c r="Q3" s="7" t="str">
        <f>MID(CHOOSE(WEEKDAY(DATE(MasterSheet!$B1,MasterSheet!$A1,Table_ExternalData_1[[#Headers],[3]])),"Sunday","Monday","Tuesday","Wednesday","Thursday","Friday","Saturday"),1,3)</f>
        <v>Fri</v>
      </c>
      <c r="R3" s="7" t="str">
        <f>MID(CHOOSE(WEEKDAY(DATE(MasterSheet!$B1,MasterSheet!$A1,Table_ExternalData_1[[#Headers],[4]])),"Sunday","Monday","Tuesday","Wednesday","Thursday","Friday","Saturday"),1,3)</f>
        <v>Sat</v>
      </c>
      <c r="S3" s="7" t="str">
        <f>MID(CHOOSE(WEEKDAY(DATE(MasterSheet!$B1,MasterSheet!$A1,Table_ExternalData_1[[#Headers],[5]])),"Sunday","Monday","Tuesday","Wednesday","Thursday","Friday","Saturday"),1,3)</f>
        <v>Sun</v>
      </c>
      <c r="T3" s="7" t="str">
        <f>MID(CHOOSE(WEEKDAY(DATE(MasterSheet!$B1,MasterSheet!$A1,Table_ExternalData_1[[#Headers],[6]])),"Sunday","Monday","Tuesday","Wednesday","Thursday","Friday","Saturday"),1,3)</f>
        <v>Mon</v>
      </c>
      <c r="U3" s="7" t="str">
        <f>MID(CHOOSE(WEEKDAY(DATE(MasterSheet!$B1,MasterSheet!$A1,Table_ExternalData_1[[#Headers],[7]])),"Sunday","Monday","Tuesday","Wednesday","Thursday","Friday","Saturday"),1,3)</f>
        <v>Tue</v>
      </c>
      <c r="V3" s="7" t="str">
        <f>MID(CHOOSE(WEEKDAY(DATE(MasterSheet!$B1,MasterSheet!$A1,Table_ExternalData_1[[#Headers],[4]])),"Sunday","Monday","Tuesday","Wednesday","Thursday","Friday","Saturday"),1,3)</f>
        <v>Sat</v>
      </c>
      <c r="W3" s="7" t="str">
        <f>MID(CHOOSE(WEEKDAY(DATE(MasterSheet!$B1,MasterSheet!$A1,Table_ExternalData_1[[#Headers],[5]])),"Sunday","Monday","Tuesday","Wednesday","Thursday","Friday","Saturday"),1,3)</f>
        <v>Sun</v>
      </c>
      <c r="X3" s="7" t="str">
        <f>MID(CHOOSE(WEEKDAY(DATE(MasterSheet!$B1,MasterSheet!$A1,Table_ExternalData_1[[#Headers],[6]])),"Sunday","Monday","Tuesday","Wednesday","Thursday","Friday","Saturday"),1,3)</f>
        <v>Mon</v>
      </c>
      <c r="Y3" s="7" t="str">
        <f>MID(CHOOSE(WEEKDAY(DATE(MasterSheet!$B1,MasterSheet!$A1,Table_ExternalData_1[[#Headers],[7]])),"Sunday","Monday","Tuesday","Wednesday","Thursday","Friday","Saturday"),1,3)</f>
        <v>Tue</v>
      </c>
      <c r="Z3" s="7" t="str">
        <f>MID(CHOOSE(WEEKDAY(DATE(MasterSheet!$B1,MasterSheet!$A1,Table_ExternalData_1[[#Headers],[8]])),"Sunday","Monday","Tuesday","Wednesday","Thursday","Friday","Saturday"),1,3)</f>
        <v>Wed</v>
      </c>
      <c r="AA3" s="7" t="str">
        <f>MID(CHOOSE(WEEKDAY(DATE(MasterSheet!$B1,MasterSheet!$A1,Table_ExternalData_1[[#Headers],[5]])),"Sunday","Monday","Tuesday","Wednesday","Thursday","Friday","Saturday"),1,3)</f>
        <v>Sun</v>
      </c>
      <c r="AB3" s="7" t="str">
        <f>MID(CHOOSE(WEEKDAY(DATE(MasterSheet!$B1,MasterSheet!$A1,Table_ExternalData_1[[#Headers],[6]])),"Sunday","Monday","Tuesday","Wednesday","Thursday","Friday","Saturday"),1,3)</f>
        <v>Mon</v>
      </c>
      <c r="AC3" s="7" t="str">
        <f>MID(CHOOSE(WEEKDAY(DATE(MasterSheet!$B1,MasterSheet!$A1,Table_ExternalData_1[[#Headers],[7]])),"Sunday","Monday","Tuesday","Wednesday","Thursday","Friday","Saturday"),1,3)</f>
        <v>Tue</v>
      </c>
      <c r="AD3" s="7" t="str">
        <f>MID(CHOOSE(WEEKDAY(DATE(MasterSheet!$B1,MasterSheet!$A1,Table_ExternalData_1[[#Headers],[8]])),"Sunday","Monday","Tuesday","Wednesday","Thursday","Friday","Saturday"),1,3)</f>
        <v>Wed</v>
      </c>
      <c r="AE3" s="7" t="str">
        <f>MID(CHOOSE(WEEKDAY(DATE(MasterSheet!$B1,MasterSheet!$A1,Table_ExternalData_1[[#Headers],[9]])),"Sunday","Monday","Tuesday","Wednesday","Thursday","Friday","Saturday"),1,3)</f>
        <v>Thu</v>
      </c>
      <c r="AF3" s="7" t="str">
        <f>MID(CHOOSE(WEEKDAY(DATE(MasterSheet!$B1,MasterSheet!$A1,Table_ExternalData_1[[#Headers],[6]])),"Sunday","Monday","Tuesday","Wednesday","Thursday","Friday","Saturday"),1,3)</f>
        <v>Mon</v>
      </c>
      <c r="AG3" s="7" t="str">
        <f>MID(CHOOSE(WEEKDAY(DATE(MasterSheet!$B1,MasterSheet!$A1,Table_ExternalData_1[[#Headers],[7]])),"Sunday","Monday","Tuesday","Wednesday","Thursday","Friday","Saturday"),1,3)</f>
        <v>Tue</v>
      </c>
      <c r="AH3" s="7" t="str">
        <f>MID(CHOOSE(WEEKDAY(DATE(MasterSheet!$B1,MasterSheet!$A1,Table_ExternalData_1[[#Headers],[8]])),"Sunday","Monday","Tuesday","Wednesday","Thursday","Friday","Saturday"),1,3)</f>
        <v>Wed</v>
      </c>
      <c r="AI3" s="7" t="str">
        <f>MID(CHOOSE(WEEKDAY(DATE(MasterSheet!$B1,MasterSheet!$A1,Table_ExternalData_1[[#Headers],[9]])),"Sunday","Monday","Tuesday","Wednesday","Thursday","Friday","Saturday"),1,3)</f>
        <v>Thu</v>
      </c>
      <c r="AJ3" s="7" t="str">
        <f>MID(CHOOSE(WEEKDAY(DATE(MasterSheet!$B1,MasterSheet!$A1,Table_ExternalData_1[[#Headers],[10]])),"Sunday","Monday","Tuesday","Wednesday","Thursday","Friday","Saturday"),1,3)</f>
        <v>Fri</v>
      </c>
      <c r="AK3" s="7" t="str">
        <f>MID(CHOOSE(WEEKDAY(DATE(MasterSheet!$B1,MasterSheet!$A1,Table_ExternalData_1[[#Headers],[7]])),"Sunday","Monday","Tuesday","Wednesday","Thursday","Friday","Saturday"),1,3)</f>
        <v>Tue</v>
      </c>
    </row>
    <row r="4" spans="1:38" s="2" customFormat="1">
      <c r="A4" s="9" t="s">
        <v>72</v>
      </c>
      <c r="B4" s="2" t="s">
        <v>10</v>
      </c>
      <c r="C4" s="2" t="s">
        <v>11</v>
      </c>
      <c r="D4" s="2" t="s">
        <v>12</v>
      </c>
      <c r="E4" s="2" t="s">
        <v>13</v>
      </c>
      <c r="F4" s="5" t="s">
        <v>24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  <c r="AA4" s="2" t="s">
        <v>47</v>
      </c>
      <c r="AB4" s="2" t="s">
        <v>48</v>
      </c>
      <c r="AC4" s="2" t="s">
        <v>49</v>
      </c>
      <c r="AD4" s="2" t="s">
        <v>50</v>
      </c>
      <c r="AE4" s="2" t="s">
        <v>51</v>
      </c>
      <c r="AF4" s="2" t="s">
        <v>52</v>
      </c>
      <c r="AG4" s="2" t="s">
        <v>53</v>
      </c>
      <c r="AH4" s="2" t="s">
        <v>54</v>
      </c>
      <c r="AI4" s="2" t="s">
        <v>55</v>
      </c>
      <c r="AJ4" s="2" t="s">
        <v>56</v>
      </c>
      <c r="AK4" s="2" t="s">
        <v>57</v>
      </c>
      <c r="AL4" s="2" t="s">
        <v>22</v>
      </c>
    </row>
    <row r="5" spans="1:38">
      <c r="A5" s="8" t="s">
        <v>73</v>
      </c>
      <c r="B5" s="3"/>
      <c r="C5" s="3" t="s">
        <v>82</v>
      </c>
      <c r="D5" s="3" t="s">
        <v>85</v>
      </c>
      <c r="E5" s="3" t="s">
        <v>86</v>
      </c>
      <c r="F5" s="8" t="s">
        <v>25</v>
      </c>
      <c r="G5" s="6">
        <f>SUMIFS(GQList,GIList,Table_ExternalData_1[[#This Row],[Item_key]],GDList,Table_ExternalData_1[[#Headers],[1]])</f>
        <v>0</v>
      </c>
      <c r="H5" s="6">
        <f>SUMIFS(GQList,GIList,Table_ExternalData_1[[#This Row],[Item_key]],GDList,Table_ExternalData_1[[#Headers],[2]])</f>
        <v>0</v>
      </c>
      <c r="I5" s="6">
        <f>SUMIFS(GQList,GIList,Table_ExternalData_1[[#This Row],[Item_key]],GDList,Table_ExternalData_1[[#Headers],[3]])</f>
        <v>0</v>
      </c>
      <c r="J5" s="6">
        <f>SUMIFS(GQList,GIList,Table_ExternalData_1[[#This Row],[Item_key]],GDList,Table_ExternalData_1[[#Headers],[4]])</f>
        <v>0</v>
      </c>
      <c r="K5" s="6">
        <f>SUMIFS(GQList,GIList,Table_ExternalData_1[[#This Row],[Item_key]],GDList,Table_ExternalData_1[[#Headers],[5]])</f>
        <v>0</v>
      </c>
      <c r="L5" s="6">
        <f>SUMIFS(GQList,GIList,Table_ExternalData_1[[#This Row],[Item_key]],GDList,Table_ExternalData_1[[#Headers],[6]])</f>
        <v>0</v>
      </c>
      <c r="M5" s="6">
        <f>SUMIFS(GQList,GIList,Table_ExternalData_1[[#This Row],[Item_key]],GDList,Table_ExternalData_1[[#Headers],[7]])</f>
        <v>0</v>
      </c>
      <c r="N5" s="6">
        <f>SUMIFS(GQList,GIList,Table_ExternalData_1[[#This Row],[Item_key]],GDList,Table_ExternalData_1[[#Headers],[8]])</f>
        <v>0</v>
      </c>
      <c r="O5" s="6">
        <f>SUMIFS(GQList,GIList,Table_ExternalData_1[[#This Row],[Item_key]],GDList,Table_ExternalData_1[[#Headers],[9]])</f>
        <v>0</v>
      </c>
      <c r="P5" s="6">
        <f>SUMIFS(GQList,GIList,Table_ExternalData_1[[#This Row],[Item_key]],GDList,Table_ExternalData_1[[#Headers],[10]])</f>
        <v>0</v>
      </c>
      <c r="Q5" s="6">
        <f>SUMIFS(GQList,GIList,Table_ExternalData_1[[#This Row],[Item_key]],GDList,Table_ExternalData_1[[#Headers],[11]])</f>
        <v>0</v>
      </c>
      <c r="R5" s="6">
        <f>SUMIFS(GQList,GIList,Table_ExternalData_1[[#This Row],[Item_key]],GDList,Table_ExternalData_1[[#Headers],[12]])</f>
        <v>0</v>
      </c>
      <c r="S5" s="6">
        <f>SUMIFS(GQList,GIList,Table_ExternalData_1[[#This Row],[Item_key]],GDList,Table_ExternalData_1[[#Headers],[13]])</f>
        <v>0</v>
      </c>
      <c r="T5" s="6">
        <f>SUMIFS(GQList,GIList,Table_ExternalData_1[[#This Row],[Item_key]],GDList,Table_ExternalData_1[[#Headers],[14]])</f>
        <v>0</v>
      </c>
      <c r="U5" s="6">
        <f>SUMIFS(GQList,GIList,Table_ExternalData_1[[#This Row],[Item_key]],GDList,Table_ExternalData_1[[#Headers],[15]])</f>
        <v>0</v>
      </c>
      <c r="V5" s="6">
        <f>SUMIFS(GQList,GIList,Table_ExternalData_1[[#This Row],[Item_key]],GDList,Table_ExternalData_1[[#Headers],[16]])</f>
        <v>0</v>
      </c>
      <c r="W5" s="6">
        <f>SUMIFS(GQList,GIList,Table_ExternalData_1[[#This Row],[Item_key]],GDList,Table_ExternalData_1[[#Headers],[17]])</f>
        <v>0</v>
      </c>
      <c r="X5" s="6">
        <f>SUMIFS(GQList,GIList,Table_ExternalData_1[[#This Row],[Item_key]],GDList,Table_ExternalData_1[[#Headers],[18]])</f>
        <v>0</v>
      </c>
      <c r="Y5" s="6">
        <f>SUMIFS(GQList,GIList,Table_ExternalData_1[[#This Row],[Item_key]],GDList,Table_ExternalData_1[[#Headers],[19]])</f>
        <v>0</v>
      </c>
      <c r="Z5" s="6">
        <f>SUMIFS(GQList,GIList,Table_ExternalData_1[[#This Row],[Item_key]],GDList,Table_ExternalData_1[[#Headers],[20]])</f>
        <v>0</v>
      </c>
      <c r="AA5" s="6">
        <f>SUMIFS(GQList,GIList,Table_ExternalData_1[[#This Row],[Item_key]],GDList,Table_ExternalData_1[[#Headers],[21]])</f>
        <v>0</v>
      </c>
      <c r="AB5" s="6">
        <f>SUMIFS(GQList,GIList,Table_ExternalData_1[[#This Row],[Item_key]],GDList,Table_ExternalData_1[[#Headers],[22]])</f>
        <v>0</v>
      </c>
      <c r="AC5" s="6">
        <f>SUMIFS(GQList,GIList,Table_ExternalData_1[[#This Row],[Item_key]],GDList,Table_ExternalData_1[[#Headers],[23]])</f>
        <v>0</v>
      </c>
      <c r="AD5" s="6">
        <f>SUMIFS(GQList,GIList,Table_ExternalData_1[[#This Row],[Item_key]],GDList,Table_ExternalData_1[[#Headers],[24]])</f>
        <v>0</v>
      </c>
      <c r="AE5" s="6">
        <f>SUMIFS(GQList,GIList,Table_ExternalData_1[[#This Row],[Item_key]],GDList,Table_ExternalData_1[[#Headers],[25]])</f>
        <v>0</v>
      </c>
      <c r="AF5" s="6">
        <f>SUMIFS(GQList,GIList,Table_ExternalData_1[[#This Row],[Item_key]],GDList,Table_ExternalData_1[[#Headers],[26]])</f>
        <v>0</v>
      </c>
      <c r="AG5" s="6">
        <f>SUMIFS(GQList,GIList,Table_ExternalData_1[[#This Row],[Item_key]],GDList,Table_ExternalData_1[[#Headers],[27]])</f>
        <v>7392</v>
      </c>
      <c r="AH5" s="6">
        <f>SUMIFS(GQList,GIList,Table_ExternalData_1[[#This Row],[Item_key]],GDList,Table_ExternalData_1[[#Headers],[28]])</f>
        <v>0</v>
      </c>
      <c r="AI5" s="6">
        <f>SUMIFS(GQList,GIList,Table_ExternalData_1[[#This Row],[Item_key]],GDList,Table_ExternalData_1[[#Headers],[29]])</f>
        <v>0</v>
      </c>
      <c r="AJ5" s="6">
        <f>SUMIFS(GQList,GIList,Table_ExternalData_1[[#This Row],[Item_key]],GDList,Table_ExternalData_1[[#Headers],[30]])</f>
        <v>0</v>
      </c>
      <c r="AK5" s="6">
        <f>SUMIFS(GQList,GIList,Table_ExternalData_1[[#This Row],[Item_key]],GDList,Table_ExternalData_1[[#Headers],[31]])</f>
        <v>2257</v>
      </c>
      <c r="AL5" s="6">
        <f>SUM(Table_ExternalData_1[[#This Row],[1]:[31]])</f>
        <v>9649</v>
      </c>
    </row>
    <row r="6" spans="1:38" ht="36">
      <c r="A6" s="35" t="s">
        <v>74</v>
      </c>
      <c r="B6" s="36" t="s">
        <v>100</v>
      </c>
      <c r="C6" s="36" t="s">
        <v>9</v>
      </c>
      <c r="D6" s="36" t="s">
        <v>18</v>
      </c>
      <c r="E6" s="36" t="s">
        <v>19</v>
      </c>
      <c r="F6" s="37" t="s">
        <v>25</v>
      </c>
      <c r="G6" s="38">
        <f>SUMIFS(GQList,GIList,Table_ExternalData_1[[#This Row],[Item_key]],GDList,Table_ExternalData_1[[#Headers],[1]])</f>
        <v>0</v>
      </c>
      <c r="H6" s="38">
        <f>SUMIFS(GQList,GIList,Table_ExternalData_1[[#This Row],[Item_key]],GDList,Table_ExternalData_1[[#Headers],[2]])</f>
        <v>0</v>
      </c>
      <c r="I6" s="38">
        <f>SUMIFS(GQList,GIList,Table_ExternalData_1[[#This Row],[Item_key]],GDList,Table_ExternalData_1[[#Headers],[3]])</f>
        <v>1000</v>
      </c>
      <c r="J6" s="38">
        <f>SUMIFS(GQList,GIList,Table_ExternalData_1[[#This Row],[Item_key]],GDList,Table_ExternalData_1[[#Headers],[4]])</f>
        <v>0</v>
      </c>
      <c r="K6" s="38">
        <f>SUMIFS(GQList,GIList,Table_ExternalData_1[[#This Row],[Item_key]],GDList,Table_ExternalData_1[[#Headers],[5]])</f>
        <v>0</v>
      </c>
      <c r="L6" s="38">
        <f>SUMIFS(GQList,GIList,Table_ExternalData_1[[#This Row],[Item_key]],GDList,Table_ExternalData_1[[#Headers],[6]])</f>
        <v>0</v>
      </c>
      <c r="M6" s="38">
        <f>SUMIFS(GQList,GIList,Table_ExternalData_1[[#This Row],[Item_key]],GDList,Table_ExternalData_1[[#Headers],[7]])</f>
        <v>0</v>
      </c>
      <c r="N6" s="38">
        <f>SUMIFS(GQList,GIList,Table_ExternalData_1[[#This Row],[Item_key]],GDList,Table_ExternalData_1[[#Headers],[8]])</f>
        <v>0</v>
      </c>
      <c r="O6" s="38">
        <f>SUMIFS(GQList,GIList,Table_ExternalData_1[[#This Row],[Item_key]],GDList,Table_ExternalData_1[[#Headers],[9]])</f>
        <v>400</v>
      </c>
      <c r="P6" s="38">
        <f>SUMIFS(GQList,GIList,Table_ExternalData_1[[#This Row],[Item_key]],GDList,Table_ExternalData_1[[#Headers],[10]])</f>
        <v>0</v>
      </c>
      <c r="Q6" s="38">
        <f>SUMIFS(GQList,GIList,Table_ExternalData_1[[#This Row],[Item_key]],GDList,Table_ExternalData_1[[#Headers],[11]])</f>
        <v>500</v>
      </c>
      <c r="R6" s="38">
        <f>SUMIFS(GQList,GIList,Table_ExternalData_1[[#This Row],[Item_key]],GDList,Table_ExternalData_1[[#Headers],[12]])</f>
        <v>0</v>
      </c>
      <c r="S6" s="38">
        <f>SUMIFS(GQList,GIList,Table_ExternalData_1[[#This Row],[Item_key]],GDList,Table_ExternalData_1[[#Headers],[13]])</f>
        <v>0</v>
      </c>
      <c r="T6" s="38">
        <f>SUMIFS(GQList,GIList,Table_ExternalData_1[[#This Row],[Item_key]],GDList,Table_ExternalData_1[[#Headers],[14]])</f>
        <v>0</v>
      </c>
      <c r="U6" s="38">
        <f>SUMIFS(GQList,GIList,Table_ExternalData_1[[#This Row],[Item_key]],GDList,Table_ExternalData_1[[#Headers],[15]])</f>
        <v>0</v>
      </c>
      <c r="V6" s="38">
        <f>SUMIFS(GQList,GIList,Table_ExternalData_1[[#This Row],[Item_key]],GDList,Table_ExternalData_1[[#Headers],[16]])</f>
        <v>0</v>
      </c>
      <c r="W6" s="38">
        <f>SUMIFS(GQList,GIList,Table_ExternalData_1[[#This Row],[Item_key]],GDList,Table_ExternalData_1[[#Headers],[17]])</f>
        <v>0</v>
      </c>
      <c r="X6" s="38">
        <f>SUMIFS(GQList,GIList,Table_ExternalData_1[[#This Row],[Item_key]],GDList,Table_ExternalData_1[[#Headers],[18]])</f>
        <v>0</v>
      </c>
      <c r="Y6" s="38">
        <f>SUMIFS(GQList,GIList,Table_ExternalData_1[[#This Row],[Item_key]],GDList,Table_ExternalData_1[[#Headers],[19]])</f>
        <v>0</v>
      </c>
      <c r="Z6" s="38">
        <f>SUMIFS(GQList,GIList,Table_ExternalData_1[[#This Row],[Item_key]],GDList,Table_ExternalData_1[[#Headers],[20]])</f>
        <v>0</v>
      </c>
      <c r="AA6" s="38">
        <f>SUMIFS(GQList,GIList,Table_ExternalData_1[[#This Row],[Item_key]],GDList,Table_ExternalData_1[[#Headers],[21]])</f>
        <v>0</v>
      </c>
      <c r="AB6" s="38">
        <f>SUMIFS(GQList,GIList,Table_ExternalData_1[[#This Row],[Item_key]],GDList,Table_ExternalData_1[[#Headers],[22]])</f>
        <v>0</v>
      </c>
      <c r="AC6" s="38">
        <f>SUMIFS(GQList,GIList,Table_ExternalData_1[[#This Row],[Item_key]],GDList,Table_ExternalData_1[[#Headers],[23]])</f>
        <v>0</v>
      </c>
      <c r="AD6" s="38">
        <f>SUMIFS(GQList,GIList,Table_ExternalData_1[[#This Row],[Item_key]],GDList,Table_ExternalData_1[[#Headers],[24]])</f>
        <v>300</v>
      </c>
      <c r="AE6" s="38">
        <f>SUMIFS(GQList,GIList,Table_ExternalData_1[[#This Row],[Item_key]],GDList,Table_ExternalData_1[[#Headers],[25]])</f>
        <v>200</v>
      </c>
      <c r="AF6" s="38">
        <f>SUMIFS(GQList,GIList,Table_ExternalData_1[[#This Row],[Item_key]],GDList,Table_ExternalData_1[[#Headers],[26]])</f>
        <v>0</v>
      </c>
      <c r="AG6" s="38">
        <f>SUMIFS(GQList,GIList,Table_ExternalData_1[[#This Row],[Item_key]],GDList,Table_ExternalData_1[[#Headers],[27]])</f>
        <v>300</v>
      </c>
      <c r="AH6" s="38">
        <f>SUMIFS(GQList,GIList,Table_ExternalData_1[[#This Row],[Item_key]],GDList,Table_ExternalData_1[[#Headers],[28]])</f>
        <v>300</v>
      </c>
      <c r="AI6" s="38">
        <f>SUMIFS(GQList,GIList,Table_ExternalData_1[[#This Row],[Item_key]],GDList,Table_ExternalData_1[[#Headers],[29]])</f>
        <v>300</v>
      </c>
      <c r="AJ6" s="38">
        <f>SUMIFS(GQList,GIList,Table_ExternalData_1[[#This Row],[Item_key]],GDList,Table_ExternalData_1[[#Headers],[30]])</f>
        <v>0</v>
      </c>
      <c r="AK6" s="38">
        <f>SUMIFS(GQList,GIList,Table_ExternalData_1[[#This Row],[Item_key]],GDList,Table_ExternalData_1[[#Headers],[31]])</f>
        <v>770</v>
      </c>
      <c r="AL6" s="38">
        <f>SUM(Table_ExternalData_1[[#This Row],[1]:[31]])</f>
        <v>4070</v>
      </c>
    </row>
    <row r="7" spans="1:38">
      <c r="A7" s="35" t="s">
        <v>73</v>
      </c>
      <c r="B7" s="36" t="s">
        <v>17</v>
      </c>
      <c r="C7" s="36" t="s">
        <v>8</v>
      </c>
      <c r="D7" s="36" t="s">
        <v>14</v>
      </c>
      <c r="E7" s="36" t="s">
        <v>15</v>
      </c>
      <c r="F7" s="37" t="s">
        <v>25</v>
      </c>
      <c r="G7" s="38">
        <f>SUMIFS(GQList,GIList,Table_ExternalData_1[[#This Row],[Item_key]],GDList,Table_ExternalData_1[[#Headers],[1]])</f>
        <v>0</v>
      </c>
      <c r="H7" s="38">
        <f>SUMIFS(GQList,GIList,Table_ExternalData_1[[#This Row],[Item_key]],GDList,Table_ExternalData_1[[#Headers],[2]])</f>
        <v>0</v>
      </c>
      <c r="I7" s="38">
        <f>SUMIFS(GQList,GIList,Table_ExternalData_1[[#This Row],[Item_key]],GDList,Table_ExternalData_1[[#Headers],[3]])</f>
        <v>0</v>
      </c>
      <c r="J7" s="38">
        <f>SUMIFS(GQList,GIList,Table_ExternalData_1[[#This Row],[Item_key]],GDList,Table_ExternalData_1[[#Headers],[4]])</f>
        <v>0</v>
      </c>
      <c r="K7" s="38">
        <f>SUMIFS(GQList,GIList,Table_ExternalData_1[[#This Row],[Item_key]],GDList,Table_ExternalData_1[[#Headers],[5]])</f>
        <v>0</v>
      </c>
      <c r="L7" s="38">
        <f>SUMIFS(GQList,GIList,Table_ExternalData_1[[#This Row],[Item_key]],GDList,Table_ExternalData_1[[#Headers],[6]])</f>
        <v>529</v>
      </c>
      <c r="M7" s="38">
        <f>SUMIFS(GQList,GIList,Table_ExternalData_1[[#This Row],[Item_key]],GDList,Table_ExternalData_1[[#Headers],[7]])</f>
        <v>0</v>
      </c>
      <c r="N7" s="38">
        <f>SUMIFS(GQList,GIList,Table_ExternalData_1[[#This Row],[Item_key]],GDList,Table_ExternalData_1[[#Headers],[8]])</f>
        <v>0</v>
      </c>
      <c r="O7" s="38">
        <f>SUMIFS(GQList,GIList,Table_ExternalData_1[[#This Row],[Item_key]],GDList,Table_ExternalData_1[[#Headers],[9]])</f>
        <v>0</v>
      </c>
      <c r="P7" s="38">
        <f>SUMIFS(GQList,GIList,Table_ExternalData_1[[#This Row],[Item_key]],GDList,Table_ExternalData_1[[#Headers],[10]])</f>
        <v>0</v>
      </c>
      <c r="Q7" s="38">
        <f>SUMIFS(GQList,GIList,Table_ExternalData_1[[#This Row],[Item_key]],GDList,Table_ExternalData_1[[#Headers],[11]])</f>
        <v>0</v>
      </c>
      <c r="R7" s="38">
        <f>SUMIFS(GQList,GIList,Table_ExternalData_1[[#This Row],[Item_key]],GDList,Table_ExternalData_1[[#Headers],[12]])</f>
        <v>0</v>
      </c>
      <c r="S7" s="38">
        <f>SUMIFS(GQList,GIList,Table_ExternalData_1[[#This Row],[Item_key]],GDList,Table_ExternalData_1[[#Headers],[13]])</f>
        <v>0</v>
      </c>
      <c r="T7" s="38">
        <f>SUMIFS(GQList,GIList,Table_ExternalData_1[[#This Row],[Item_key]],GDList,Table_ExternalData_1[[#Headers],[14]])</f>
        <v>0</v>
      </c>
      <c r="U7" s="38">
        <f>SUMIFS(GQList,GIList,Table_ExternalData_1[[#This Row],[Item_key]],GDList,Table_ExternalData_1[[#Headers],[15]])</f>
        <v>0</v>
      </c>
      <c r="V7" s="38">
        <f>SUMIFS(GQList,GIList,Table_ExternalData_1[[#This Row],[Item_key]],GDList,Table_ExternalData_1[[#Headers],[16]])</f>
        <v>0</v>
      </c>
      <c r="W7" s="38">
        <f>SUMIFS(GQList,GIList,Table_ExternalData_1[[#This Row],[Item_key]],GDList,Table_ExternalData_1[[#Headers],[17]])</f>
        <v>0</v>
      </c>
      <c r="X7" s="38">
        <f>SUMIFS(GQList,GIList,Table_ExternalData_1[[#This Row],[Item_key]],GDList,Table_ExternalData_1[[#Headers],[18]])</f>
        <v>0</v>
      </c>
      <c r="Y7" s="38">
        <f>SUMIFS(GQList,GIList,Table_ExternalData_1[[#This Row],[Item_key]],GDList,Table_ExternalData_1[[#Headers],[19]])</f>
        <v>0</v>
      </c>
      <c r="Z7" s="38">
        <f>SUMIFS(GQList,GIList,Table_ExternalData_1[[#This Row],[Item_key]],GDList,Table_ExternalData_1[[#Headers],[20]])</f>
        <v>0</v>
      </c>
      <c r="AA7" s="38">
        <f>SUMIFS(GQList,GIList,Table_ExternalData_1[[#This Row],[Item_key]],GDList,Table_ExternalData_1[[#Headers],[21]])</f>
        <v>0</v>
      </c>
      <c r="AB7" s="38">
        <f>SUMIFS(GQList,GIList,Table_ExternalData_1[[#This Row],[Item_key]],GDList,Table_ExternalData_1[[#Headers],[22]])</f>
        <v>0</v>
      </c>
      <c r="AC7" s="38">
        <f>SUMIFS(GQList,GIList,Table_ExternalData_1[[#This Row],[Item_key]],GDList,Table_ExternalData_1[[#Headers],[23]])</f>
        <v>0</v>
      </c>
      <c r="AD7" s="38">
        <f>SUMIFS(GQList,GIList,Table_ExternalData_1[[#This Row],[Item_key]],GDList,Table_ExternalData_1[[#Headers],[24]])</f>
        <v>0</v>
      </c>
      <c r="AE7" s="38">
        <f>SUMIFS(GQList,GIList,Table_ExternalData_1[[#This Row],[Item_key]],GDList,Table_ExternalData_1[[#Headers],[25]])</f>
        <v>0</v>
      </c>
      <c r="AF7" s="38">
        <f>SUMIFS(GQList,GIList,Table_ExternalData_1[[#This Row],[Item_key]],GDList,Table_ExternalData_1[[#Headers],[26]])</f>
        <v>0</v>
      </c>
      <c r="AG7" s="38">
        <f>SUMIFS(GQList,GIList,Table_ExternalData_1[[#This Row],[Item_key]],GDList,Table_ExternalData_1[[#Headers],[27]])</f>
        <v>0</v>
      </c>
      <c r="AH7" s="38">
        <f>SUMIFS(GQList,GIList,Table_ExternalData_1[[#This Row],[Item_key]],GDList,Table_ExternalData_1[[#Headers],[28]])</f>
        <v>0</v>
      </c>
      <c r="AI7" s="38">
        <f>SUMIFS(GQList,GIList,Table_ExternalData_1[[#This Row],[Item_key]],GDList,Table_ExternalData_1[[#Headers],[29]])</f>
        <v>0</v>
      </c>
      <c r="AJ7" s="38">
        <f>SUMIFS(GQList,GIList,Table_ExternalData_1[[#This Row],[Item_key]],GDList,Table_ExternalData_1[[#Headers],[30]])</f>
        <v>0</v>
      </c>
      <c r="AK7" s="38">
        <f>SUMIFS(GQList,GIList,Table_ExternalData_1[[#This Row],[Item_key]],GDList,Table_ExternalData_1[[#Headers],[31]])</f>
        <v>0</v>
      </c>
      <c r="AL7" s="38">
        <f>SUM(Table_ExternalData_1[[#This Row],[1]:[31]])</f>
        <v>529</v>
      </c>
    </row>
    <row r="8" spans="1:38" ht="24">
      <c r="A8" s="35" t="s">
        <v>74</v>
      </c>
      <c r="B8" s="36" t="s">
        <v>101</v>
      </c>
      <c r="C8" s="36" t="s">
        <v>6</v>
      </c>
      <c r="D8" s="36" t="s">
        <v>20</v>
      </c>
      <c r="E8" s="36" t="s">
        <v>21</v>
      </c>
      <c r="F8" s="37" t="s">
        <v>25</v>
      </c>
      <c r="G8" s="38">
        <f>SUMIFS(GQList,GIList,Table_ExternalData_1[[#This Row],[Item_key]],GDList,Table_ExternalData_1[[#Headers],[1]])</f>
        <v>0</v>
      </c>
      <c r="H8" s="38">
        <f>SUMIFS(GQList,GIList,Table_ExternalData_1[[#This Row],[Item_key]],GDList,Table_ExternalData_1[[#Headers],[2]])</f>
        <v>0</v>
      </c>
      <c r="I8" s="38">
        <f>SUMIFS(GQList,GIList,Table_ExternalData_1[[#This Row],[Item_key]],GDList,Table_ExternalData_1[[#Headers],[3]])</f>
        <v>0</v>
      </c>
      <c r="J8" s="38">
        <f>SUMIFS(GQList,GIList,Table_ExternalData_1[[#This Row],[Item_key]],GDList,Table_ExternalData_1[[#Headers],[4]])</f>
        <v>0</v>
      </c>
      <c r="K8" s="38">
        <f>SUMIFS(GQList,GIList,Table_ExternalData_1[[#This Row],[Item_key]],GDList,Table_ExternalData_1[[#Headers],[5]])</f>
        <v>0</v>
      </c>
      <c r="L8" s="38">
        <f>SUMIFS(GQList,GIList,Table_ExternalData_1[[#This Row],[Item_key]],GDList,Table_ExternalData_1[[#Headers],[6]])</f>
        <v>0</v>
      </c>
      <c r="M8" s="38">
        <f>SUMIFS(GQList,GIList,Table_ExternalData_1[[#This Row],[Item_key]],GDList,Table_ExternalData_1[[#Headers],[7]])</f>
        <v>0</v>
      </c>
      <c r="N8" s="38">
        <f>SUMIFS(GQList,GIList,Table_ExternalData_1[[#This Row],[Item_key]],GDList,Table_ExternalData_1[[#Headers],[8]])</f>
        <v>0</v>
      </c>
      <c r="O8" s="38">
        <f>SUMIFS(GQList,GIList,Table_ExternalData_1[[#This Row],[Item_key]],GDList,Table_ExternalData_1[[#Headers],[9]])</f>
        <v>59</v>
      </c>
      <c r="P8" s="38">
        <f>SUMIFS(GQList,GIList,Table_ExternalData_1[[#This Row],[Item_key]],GDList,Table_ExternalData_1[[#Headers],[10]])</f>
        <v>0</v>
      </c>
      <c r="Q8" s="38">
        <f>SUMIFS(GQList,GIList,Table_ExternalData_1[[#This Row],[Item_key]],GDList,Table_ExternalData_1[[#Headers],[11]])</f>
        <v>0</v>
      </c>
      <c r="R8" s="38">
        <f>SUMIFS(GQList,GIList,Table_ExternalData_1[[#This Row],[Item_key]],GDList,Table_ExternalData_1[[#Headers],[12]])</f>
        <v>0</v>
      </c>
      <c r="S8" s="38">
        <f>SUMIFS(GQList,GIList,Table_ExternalData_1[[#This Row],[Item_key]],GDList,Table_ExternalData_1[[#Headers],[13]])</f>
        <v>0</v>
      </c>
      <c r="T8" s="38">
        <f>SUMIFS(GQList,GIList,Table_ExternalData_1[[#This Row],[Item_key]],GDList,Table_ExternalData_1[[#Headers],[14]])</f>
        <v>0</v>
      </c>
      <c r="U8" s="38">
        <f>SUMIFS(GQList,GIList,Table_ExternalData_1[[#This Row],[Item_key]],GDList,Table_ExternalData_1[[#Headers],[15]])</f>
        <v>0</v>
      </c>
      <c r="V8" s="38">
        <f>SUMIFS(GQList,GIList,Table_ExternalData_1[[#This Row],[Item_key]],GDList,Table_ExternalData_1[[#Headers],[16]])</f>
        <v>0</v>
      </c>
      <c r="W8" s="38">
        <f>SUMIFS(GQList,GIList,Table_ExternalData_1[[#This Row],[Item_key]],GDList,Table_ExternalData_1[[#Headers],[17]])</f>
        <v>0</v>
      </c>
      <c r="X8" s="38">
        <f>SUMIFS(GQList,GIList,Table_ExternalData_1[[#This Row],[Item_key]],GDList,Table_ExternalData_1[[#Headers],[18]])</f>
        <v>268</v>
      </c>
      <c r="Y8" s="38">
        <f>SUMIFS(GQList,GIList,Table_ExternalData_1[[#This Row],[Item_key]],GDList,Table_ExternalData_1[[#Headers],[19]])</f>
        <v>0</v>
      </c>
      <c r="Z8" s="38">
        <f>SUMIFS(GQList,GIList,Table_ExternalData_1[[#This Row],[Item_key]],GDList,Table_ExternalData_1[[#Headers],[20]])</f>
        <v>0</v>
      </c>
      <c r="AA8" s="38">
        <f>SUMIFS(GQList,GIList,Table_ExternalData_1[[#This Row],[Item_key]],GDList,Table_ExternalData_1[[#Headers],[21]])</f>
        <v>0</v>
      </c>
      <c r="AB8" s="38">
        <f>SUMIFS(GQList,GIList,Table_ExternalData_1[[#This Row],[Item_key]],GDList,Table_ExternalData_1[[#Headers],[22]])</f>
        <v>0</v>
      </c>
      <c r="AC8" s="38">
        <f>SUMIFS(GQList,GIList,Table_ExternalData_1[[#This Row],[Item_key]],GDList,Table_ExternalData_1[[#Headers],[23]])</f>
        <v>0</v>
      </c>
      <c r="AD8" s="38">
        <f>SUMIFS(GQList,GIList,Table_ExternalData_1[[#This Row],[Item_key]],GDList,Table_ExternalData_1[[#Headers],[24]])</f>
        <v>0</v>
      </c>
      <c r="AE8" s="38">
        <f>SUMIFS(GQList,GIList,Table_ExternalData_1[[#This Row],[Item_key]],GDList,Table_ExternalData_1[[#Headers],[25]])</f>
        <v>0</v>
      </c>
      <c r="AF8" s="38">
        <f>SUMIFS(GQList,GIList,Table_ExternalData_1[[#This Row],[Item_key]],GDList,Table_ExternalData_1[[#Headers],[26]])</f>
        <v>0</v>
      </c>
      <c r="AG8" s="38">
        <f>SUMIFS(GQList,GIList,Table_ExternalData_1[[#This Row],[Item_key]],GDList,Table_ExternalData_1[[#Headers],[27]])</f>
        <v>0</v>
      </c>
      <c r="AH8" s="38">
        <f>SUMIFS(GQList,GIList,Table_ExternalData_1[[#This Row],[Item_key]],GDList,Table_ExternalData_1[[#Headers],[28]])</f>
        <v>653</v>
      </c>
      <c r="AI8" s="38">
        <f>SUMIFS(GQList,GIList,Table_ExternalData_1[[#This Row],[Item_key]],GDList,Table_ExternalData_1[[#Headers],[29]])</f>
        <v>2353</v>
      </c>
      <c r="AJ8" s="38">
        <f>SUMIFS(GQList,GIList,Table_ExternalData_1[[#This Row],[Item_key]],GDList,Table_ExternalData_1[[#Headers],[30]])</f>
        <v>942</v>
      </c>
      <c r="AK8" s="38">
        <f>SUMIFS(GQList,GIList,Table_ExternalData_1[[#This Row],[Item_key]],GDList,Table_ExternalData_1[[#Headers],[31]])</f>
        <v>233</v>
      </c>
      <c r="AL8" s="38">
        <f>SUM(Table_ExternalData_1[[#This Row],[1]:[31]])</f>
        <v>4508</v>
      </c>
    </row>
    <row r="9" spans="1:38" ht="24">
      <c r="A9" s="35" t="s">
        <v>74</v>
      </c>
      <c r="B9" s="36" t="s">
        <v>101</v>
      </c>
      <c r="C9" s="36" t="s">
        <v>6</v>
      </c>
      <c r="D9" s="36" t="s">
        <v>20</v>
      </c>
      <c r="E9" s="36" t="s">
        <v>21</v>
      </c>
      <c r="F9" s="37" t="s">
        <v>26</v>
      </c>
      <c r="G9" s="38">
        <f>SUMIFS(GQList,GIList,Table_ExternalData_1[[#This Row],[Item_key]],GDList,Table_ExternalData_1[[#Headers],[1]])</f>
        <v>0</v>
      </c>
      <c r="H9" s="38">
        <f>SUMIFS(GQList,GIList,Table_ExternalData_1[[#This Row],[Item_key]],GDList,Table_ExternalData_1[[#Headers],[2]])</f>
        <v>0</v>
      </c>
      <c r="I9" s="38">
        <f>SUMIFS(GQList,GIList,Table_ExternalData_1[[#This Row],[Item_key]],GDList,Table_ExternalData_1[[#Headers],[3]])</f>
        <v>0</v>
      </c>
      <c r="J9" s="38">
        <f>SUMIFS(GQList,GIList,Table_ExternalData_1[[#This Row],[Item_key]],GDList,Table_ExternalData_1[[#Headers],[4]])</f>
        <v>0</v>
      </c>
      <c r="K9" s="38">
        <f>SUMIFS(GQList,GIList,Table_ExternalData_1[[#This Row],[Item_key]],GDList,Table_ExternalData_1[[#Headers],[5]])</f>
        <v>0</v>
      </c>
      <c r="L9" s="38">
        <f>SUMIFS(GQList,GIList,Table_ExternalData_1[[#This Row],[Item_key]],GDList,Table_ExternalData_1[[#Headers],[6]])</f>
        <v>0</v>
      </c>
      <c r="M9" s="38">
        <f>SUMIFS(GQList,GIList,Table_ExternalData_1[[#This Row],[Item_key]],GDList,Table_ExternalData_1[[#Headers],[7]])</f>
        <v>0</v>
      </c>
      <c r="N9" s="38">
        <f>SUMIFS(GQList,GIList,Table_ExternalData_1[[#This Row],[Item_key]],GDList,Table_ExternalData_1[[#Headers],[8]])</f>
        <v>0</v>
      </c>
      <c r="O9" s="38">
        <f>SUMIFS(GQList,GIList,Table_ExternalData_1[[#This Row],[Item_key]],GDList,Table_ExternalData_1[[#Headers],[9]])</f>
        <v>59</v>
      </c>
      <c r="P9" s="38">
        <f>SUMIFS(GQList,GIList,Table_ExternalData_1[[#This Row],[Item_key]],GDList,Table_ExternalData_1[[#Headers],[10]])</f>
        <v>0</v>
      </c>
      <c r="Q9" s="38">
        <f>SUMIFS(GQList,GIList,Table_ExternalData_1[[#This Row],[Item_key]],GDList,Table_ExternalData_1[[#Headers],[11]])</f>
        <v>0</v>
      </c>
      <c r="R9" s="38">
        <f>SUMIFS(GQList,GIList,Table_ExternalData_1[[#This Row],[Item_key]],GDList,Table_ExternalData_1[[#Headers],[12]])</f>
        <v>0</v>
      </c>
      <c r="S9" s="38">
        <f>SUMIFS(GQList,GIList,Table_ExternalData_1[[#This Row],[Item_key]],GDList,Table_ExternalData_1[[#Headers],[13]])</f>
        <v>0</v>
      </c>
      <c r="T9" s="38">
        <f>SUMIFS(GQList,GIList,Table_ExternalData_1[[#This Row],[Item_key]],GDList,Table_ExternalData_1[[#Headers],[14]])</f>
        <v>0</v>
      </c>
      <c r="U9" s="38">
        <f>SUMIFS(GQList,GIList,Table_ExternalData_1[[#This Row],[Item_key]],GDList,Table_ExternalData_1[[#Headers],[15]])</f>
        <v>0</v>
      </c>
      <c r="V9" s="38">
        <f>SUMIFS(GQList,GIList,Table_ExternalData_1[[#This Row],[Item_key]],GDList,Table_ExternalData_1[[#Headers],[16]])</f>
        <v>0</v>
      </c>
      <c r="W9" s="38">
        <f>SUMIFS(GQList,GIList,Table_ExternalData_1[[#This Row],[Item_key]],GDList,Table_ExternalData_1[[#Headers],[17]])</f>
        <v>0</v>
      </c>
      <c r="X9" s="38">
        <f>SUMIFS(GQList,GIList,Table_ExternalData_1[[#This Row],[Item_key]],GDList,Table_ExternalData_1[[#Headers],[18]])</f>
        <v>268</v>
      </c>
      <c r="Y9" s="38">
        <f>SUMIFS(GQList,GIList,Table_ExternalData_1[[#This Row],[Item_key]],GDList,Table_ExternalData_1[[#Headers],[19]])</f>
        <v>0</v>
      </c>
      <c r="Z9" s="38">
        <f>SUMIFS(GQList,GIList,Table_ExternalData_1[[#This Row],[Item_key]],GDList,Table_ExternalData_1[[#Headers],[20]])</f>
        <v>0</v>
      </c>
      <c r="AA9" s="38">
        <f>SUMIFS(GQList,GIList,Table_ExternalData_1[[#This Row],[Item_key]],GDList,Table_ExternalData_1[[#Headers],[21]])</f>
        <v>0</v>
      </c>
      <c r="AB9" s="38">
        <f>SUMIFS(GQList,GIList,Table_ExternalData_1[[#This Row],[Item_key]],GDList,Table_ExternalData_1[[#Headers],[22]])</f>
        <v>0</v>
      </c>
      <c r="AC9" s="38">
        <f>SUMIFS(GQList,GIList,Table_ExternalData_1[[#This Row],[Item_key]],GDList,Table_ExternalData_1[[#Headers],[23]])</f>
        <v>0</v>
      </c>
      <c r="AD9" s="38">
        <f>SUMIFS(GQList,GIList,Table_ExternalData_1[[#This Row],[Item_key]],GDList,Table_ExternalData_1[[#Headers],[24]])</f>
        <v>0</v>
      </c>
      <c r="AE9" s="38">
        <f>SUMIFS(GQList,GIList,Table_ExternalData_1[[#This Row],[Item_key]],GDList,Table_ExternalData_1[[#Headers],[25]])</f>
        <v>0</v>
      </c>
      <c r="AF9" s="38">
        <f>SUMIFS(GQList,GIList,Table_ExternalData_1[[#This Row],[Item_key]],GDList,Table_ExternalData_1[[#Headers],[26]])</f>
        <v>0</v>
      </c>
      <c r="AG9" s="38">
        <f>SUMIFS(GQList,GIList,Table_ExternalData_1[[#This Row],[Item_key]],GDList,Table_ExternalData_1[[#Headers],[27]])</f>
        <v>0</v>
      </c>
      <c r="AH9" s="38">
        <f>SUMIFS(GQList,GIList,Table_ExternalData_1[[#This Row],[Item_key]],GDList,Table_ExternalData_1[[#Headers],[28]])</f>
        <v>653</v>
      </c>
      <c r="AI9" s="38">
        <f>SUMIFS(GQList,GIList,Table_ExternalData_1[[#This Row],[Item_key]],GDList,Table_ExternalData_1[[#Headers],[29]])</f>
        <v>2353</v>
      </c>
      <c r="AJ9" s="38">
        <f>SUMIFS(GQList,GIList,Table_ExternalData_1[[#This Row],[Item_key]],GDList,Table_ExternalData_1[[#Headers],[30]])</f>
        <v>942</v>
      </c>
      <c r="AK9" s="38">
        <f>SUMIFS(GQList,GIList,Table_ExternalData_1[[#This Row],[Item_key]],GDList,Table_ExternalData_1[[#Headers],[31]])</f>
        <v>233</v>
      </c>
      <c r="AL9" s="38">
        <f>SUM(Table_ExternalData_1[[#This Row],[1]:[31]])</f>
        <v>4508</v>
      </c>
    </row>
  </sheetData>
  <mergeCells count="3">
    <mergeCell ref="A1:B1"/>
    <mergeCell ref="D2:E2"/>
    <mergeCell ref="G1:K1"/>
  </mergeCells>
  <conditionalFormatting sqref="A5:A9 F5:F9">
    <cfRule type="cellIs" dxfId="97" priority="4" operator="equal">
      <formula>"TR"</formula>
    </cfRule>
    <cfRule type="cellIs" dxfId="96" priority="5" operator="equal">
      <formula>"RT"</formula>
    </cfRule>
    <cfRule type="cellIs" dxfId="95" priority="7" operator="equal">
      <formula>"RCA"</formula>
    </cfRule>
  </conditionalFormatting>
  <conditionalFormatting sqref="B5:B9">
    <cfRule type="containsText" dxfId="94" priority="6" operator="containsText" text="/">
      <formula>NOT(ISERROR(SEARCH("/",B5)))</formula>
    </cfRule>
  </conditionalFormatting>
  <conditionalFormatting sqref="F5:F9">
    <cfRule type="cellIs" dxfId="93" priority="1" operator="equal">
      <formula>"TR"</formula>
    </cfRule>
    <cfRule type="cellIs" dxfId="92" priority="2" operator="equal">
      <formula>"GRN"</formula>
    </cfRule>
    <cfRule type="cellIs" dxfId="91" priority="3" operator="equal">
      <formula>"GRN"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6" sqref="A6:XFD6"/>
    </sheetView>
  </sheetViews>
  <sheetFormatPr defaultRowHeight="15"/>
  <sheetData>
    <row r="1" spans="1:1">
      <c r="A1" t="s">
        <v>59</v>
      </c>
    </row>
    <row r="2" spans="1:1">
      <c r="A2" t="s">
        <v>60</v>
      </c>
    </row>
    <row r="3" spans="1:1">
      <c r="A3" t="s">
        <v>61</v>
      </c>
    </row>
    <row r="4" spans="1:1">
      <c r="A4" t="s">
        <v>62</v>
      </c>
    </row>
    <row r="5" spans="1:1">
      <c r="A5" t="s">
        <v>63</v>
      </c>
    </row>
    <row r="6" spans="1:1">
      <c r="A6" t="s">
        <v>64</v>
      </c>
    </row>
    <row r="7" spans="1:1">
      <c r="A7" t="s">
        <v>65</v>
      </c>
    </row>
    <row r="8" spans="1:1">
      <c r="A8" t="s">
        <v>66</v>
      </c>
    </row>
    <row r="9" spans="1:1">
      <c r="A9" t="s">
        <v>67</v>
      </c>
    </row>
    <row r="10" spans="1:1">
      <c r="A10" t="s">
        <v>68</v>
      </c>
    </row>
    <row r="11" spans="1:1">
      <c r="A11" t="s">
        <v>69</v>
      </c>
    </row>
    <row r="12" spans="1:1">
      <c r="A1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9"/>
  <sheetViews>
    <sheetView workbookViewId="0">
      <selection activeCell="D2" sqref="D2:D89"/>
    </sheetView>
  </sheetViews>
  <sheetFormatPr defaultRowHeight="15"/>
  <cols>
    <col min="1" max="1" width="11.5703125" bestFit="1" customWidth="1"/>
    <col min="3" max="3" width="8.140625" bestFit="1" customWidth="1"/>
    <col min="4" max="4" width="6.42578125" bestFit="1" customWidth="1"/>
    <col min="5" max="5" width="11.140625" bestFit="1" customWidth="1"/>
    <col min="6" max="6" width="8.140625" bestFit="1" customWidth="1"/>
  </cols>
  <sheetData>
    <row r="1" spans="1:4">
      <c r="A1" t="s">
        <v>2</v>
      </c>
      <c r="B1" t="s">
        <v>1</v>
      </c>
      <c r="C1" t="s">
        <v>76</v>
      </c>
      <c r="D1" t="s">
        <v>23</v>
      </c>
    </row>
    <row r="2" spans="1:4">
      <c r="A2" t="s">
        <v>6</v>
      </c>
      <c r="B2">
        <v>0</v>
      </c>
      <c r="C2" t="s">
        <v>77</v>
      </c>
      <c r="D2">
        <v>44</v>
      </c>
    </row>
    <row r="3" spans="1:4" hidden="1">
      <c r="A3" t="s">
        <v>8</v>
      </c>
      <c r="B3">
        <v>29</v>
      </c>
      <c r="C3" t="s">
        <v>79</v>
      </c>
      <c r="D3">
        <v>6</v>
      </c>
    </row>
    <row r="4" spans="1:4" hidden="1">
      <c r="A4" t="s">
        <v>9</v>
      </c>
      <c r="B4">
        <v>9</v>
      </c>
      <c r="C4" t="s">
        <v>79</v>
      </c>
      <c r="D4">
        <v>2</v>
      </c>
    </row>
    <row r="5" spans="1:4" hidden="1">
      <c r="A5" t="s">
        <v>6</v>
      </c>
      <c r="B5">
        <v>3</v>
      </c>
      <c r="C5" t="s">
        <v>79</v>
      </c>
      <c r="D5">
        <v>140</v>
      </c>
    </row>
    <row r="6" spans="1:4" hidden="1">
      <c r="A6" t="s">
        <v>6</v>
      </c>
      <c r="B6">
        <v>7</v>
      </c>
      <c r="C6" t="s">
        <v>79</v>
      </c>
      <c r="D6">
        <v>67</v>
      </c>
    </row>
    <row r="7" spans="1:4" hidden="1">
      <c r="A7" t="s">
        <v>6</v>
      </c>
      <c r="B7">
        <v>9</v>
      </c>
      <c r="C7" t="s">
        <v>79</v>
      </c>
      <c r="D7">
        <v>25</v>
      </c>
    </row>
    <row r="8" spans="1:4" hidden="1">
      <c r="A8" t="s">
        <v>6</v>
      </c>
      <c r="B8">
        <v>13</v>
      </c>
      <c r="C8" t="s">
        <v>79</v>
      </c>
      <c r="D8">
        <v>203</v>
      </c>
    </row>
    <row r="9" spans="1:4" hidden="1">
      <c r="A9" t="s">
        <v>6</v>
      </c>
      <c r="B9">
        <v>14</v>
      </c>
      <c r="C9" t="s">
        <v>79</v>
      </c>
      <c r="D9">
        <v>74</v>
      </c>
    </row>
    <row r="10" spans="1:4" hidden="1">
      <c r="A10" t="s">
        <v>6</v>
      </c>
      <c r="B10">
        <v>15</v>
      </c>
      <c r="C10" t="s">
        <v>79</v>
      </c>
      <c r="D10">
        <v>56</v>
      </c>
    </row>
    <row r="11" spans="1:4" hidden="1">
      <c r="A11" t="s">
        <v>6</v>
      </c>
      <c r="B11">
        <v>27</v>
      </c>
      <c r="C11" t="s">
        <v>79</v>
      </c>
      <c r="D11">
        <v>38</v>
      </c>
    </row>
    <row r="12" spans="1:4" hidden="1">
      <c r="A12" t="s">
        <v>6</v>
      </c>
      <c r="B12">
        <v>29</v>
      </c>
      <c r="C12" t="s">
        <v>79</v>
      </c>
      <c r="D12">
        <v>37</v>
      </c>
    </row>
    <row r="13" spans="1:4" hidden="1">
      <c r="A13" t="s">
        <v>6</v>
      </c>
      <c r="B13">
        <v>30</v>
      </c>
      <c r="C13" t="s">
        <v>79</v>
      </c>
      <c r="D13">
        <v>76</v>
      </c>
    </row>
    <row r="14" spans="1:4" hidden="1">
      <c r="A14" t="s">
        <v>6</v>
      </c>
      <c r="B14">
        <v>31</v>
      </c>
      <c r="C14" t="s">
        <v>79</v>
      </c>
      <c r="D14">
        <v>141</v>
      </c>
    </row>
    <row r="15" spans="1:4" hidden="1">
      <c r="A15" t="s">
        <v>8</v>
      </c>
      <c r="B15">
        <v>0</v>
      </c>
      <c r="C15" t="s">
        <v>79</v>
      </c>
      <c r="D15">
        <v>9</v>
      </c>
    </row>
    <row r="16" spans="1:4">
      <c r="A16" t="s">
        <v>6</v>
      </c>
      <c r="B16">
        <v>0</v>
      </c>
      <c r="C16" t="s">
        <v>79</v>
      </c>
      <c r="D16">
        <v>1507</v>
      </c>
    </row>
    <row r="17" spans="1:4" hidden="1">
      <c r="A17" t="s">
        <v>81</v>
      </c>
      <c r="B17">
        <v>1</v>
      </c>
      <c r="C17" t="s">
        <v>80</v>
      </c>
      <c r="D17">
        <v>8</v>
      </c>
    </row>
    <row r="18" spans="1:4" hidden="1">
      <c r="A18" t="s">
        <v>9</v>
      </c>
      <c r="B18">
        <v>1</v>
      </c>
      <c r="C18" t="s">
        <v>80</v>
      </c>
      <c r="D18">
        <v>85</v>
      </c>
    </row>
    <row r="19" spans="1:4" hidden="1">
      <c r="A19" t="s">
        <v>6</v>
      </c>
      <c r="B19">
        <v>1</v>
      </c>
      <c r="C19" t="s">
        <v>80</v>
      </c>
      <c r="D19">
        <v>85</v>
      </c>
    </row>
    <row r="20" spans="1:4" hidden="1">
      <c r="A20" t="s">
        <v>82</v>
      </c>
      <c r="B20">
        <v>1</v>
      </c>
      <c r="C20" t="s">
        <v>80</v>
      </c>
      <c r="D20">
        <v>85</v>
      </c>
    </row>
    <row r="21" spans="1:4" hidden="1">
      <c r="A21" t="s">
        <v>9</v>
      </c>
      <c r="B21">
        <v>2</v>
      </c>
      <c r="C21" t="s">
        <v>80</v>
      </c>
      <c r="D21">
        <v>188</v>
      </c>
    </row>
    <row r="22" spans="1:4" hidden="1">
      <c r="A22" t="s">
        <v>6</v>
      </c>
      <c r="B22">
        <v>2</v>
      </c>
      <c r="C22" t="s">
        <v>80</v>
      </c>
      <c r="D22">
        <v>136</v>
      </c>
    </row>
    <row r="23" spans="1:4" hidden="1">
      <c r="A23" t="s">
        <v>82</v>
      </c>
      <c r="B23">
        <v>2</v>
      </c>
      <c r="C23" t="s">
        <v>80</v>
      </c>
      <c r="D23">
        <v>188</v>
      </c>
    </row>
    <row r="24" spans="1:4" hidden="1">
      <c r="A24" t="s">
        <v>9</v>
      </c>
      <c r="B24">
        <v>3</v>
      </c>
      <c r="C24" t="s">
        <v>80</v>
      </c>
      <c r="D24">
        <v>85</v>
      </c>
    </row>
    <row r="25" spans="1:4" hidden="1">
      <c r="A25" t="s">
        <v>6</v>
      </c>
      <c r="B25">
        <v>3</v>
      </c>
      <c r="C25" t="s">
        <v>80</v>
      </c>
      <c r="D25">
        <v>35</v>
      </c>
    </row>
    <row r="26" spans="1:4" hidden="1">
      <c r="A26" t="s">
        <v>82</v>
      </c>
      <c r="B26">
        <v>3</v>
      </c>
      <c r="C26" t="s">
        <v>80</v>
      </c>
      <c r="D26">
        <v>85</v>
      </c>
    </row>
    <row r="27" spans="1:4" hidden="1">
      <c r="A27" t="s">
        <v>81</v>
      </c>
      <c r="B27">
        <v>4</v>
      </c>
      <c r="C27" t="s">
        <v>80</v>
      </c>
      <c r="D27">
        <v>560</v>
      </c>
    </row>
    <row r="28" spans="1:4" hidden="1">
      <c r="A28" t="s">
        <v>9</v>
      </c>
      <c r="B28">
        <v>4</v>
      </c>
      <c r="C28" t="s">
        <v>80</v>
      </c>
      <c r="D28">
        <v>250</v>
      </c>
    </row>
    <row r="29" spans="1:4" hidden="1">
      <c r="A29" t="s">
        <v>6</v>
      </c>
      <c r="B29">
        <v>4</v>
      </c>
      <c r="C29" t="s">
        <v>80</v>
      </c>
      <c r="D29">
        <v>200</v>
      </c>
    </row>
    <row r="30" spans="1:4" hidden="1">
      <c r="A30" t="s">
        <v>82</v>
      </c>
      <c r="B30">
        <v>4</v>
      </c>
      <c r="C30" t="s">
        <v>80</v>
      </c>
      <c r="D30">
        <v>250</v>
      </c>
    </row>
    <row r="31" spans="1:4" hidden="1">
      <c r="A31" t="s">
        <v>9</v>
      </c>
      <c r="B31">
        <v>5</v>
      </c>
      <c r="C31" t="s">
        <v>80</v>
      </c>
      <c r="D31">
        <v>100</v>
      </c>
    </row>
    <row r="32" spans="1:4" hidden="1">
      <c r="A32" t="s">
        <v>6</v>
      </c>
      <c r="B32">
        <v>5</v>
      </c>
      <c r="C32" t="s">
        <v>80</v>
      </c>
      <c r="D32">
        <v>56</v>
      </c>
    </row>
    <row r="33" spans="1:4" hidden="1">
      <c r="A33" t="s">
        <v>82</v>
      </c>
      <c r="B33">
        <v>5</v>
      </c>
      <c r="C33" t="s">
        <v>80</v>
      </c>
      <c r="D33">
        <v>100</v>
      </c>
    </row>
    <row r="34" spans="1:4" hidden="1">
      <c r="A34" t="s">
        <v>81</v>
      </c>
      <c r="B34">
        <v>6</v>
      </c>
      <c r="C34" t="s">
        <v>80</v>
      </c>
      <c r="D34">
        <v>184</v>
      </c>
    </row>
    <row r="35" spans="1:4" hidden="1">
      <c r="A35" t="s">
        <v>9</v>
      </c>
      <c r="B35">
        <v>6</v>
      </c>
      <c r="C35" t="s">
        <v>80</v>
      </c>
      <c r="D35">
        <v>237</v>
      </c>
    </row>
    <row r="36" spans="1:4" hidden="1">
      <c r="A36" t="s">
        <v>6</v>
      </c>
      <c r="B36">
        <v>6</v>
      </c>
      <c r="C36" t="s">
        <v>80</v>
      </c>
      <c r="D36">
        <v>237</v>
      </c>
    </row>
    <row r="37" spans="1:4" hidden="1">
      <c r="A37" t="s">
        <v>82</v>
      </c>
      <c r="B37">
        <v>6</v>
      </c>
      <c r="C37" t="s">
        <v>80</v>
      </c>
      <c r="D37">
        <v>237</v>
      </c>
    </row>
    <row r="38" spans="1:4" hidden="1">
      <c r="A38" t="s">
        <v>9</v>
      </c>
      <c r="B38">
        <v>7</v>
      </c>
      <c r="C38" t="s">
        <v>80</v>
      </c>
      <c r="D38">
        <v>209</v>
      </c>
    </row>
    <row r="39" spans="1:4" hidden="1">
      <c r="A39" t="s">
        <v>6</v>
      </c>
      <c r="B39">
        <v>7</v>
      </c>
      <c r="C39" t="s">
        <v>80</v>
      </c>
      <c r="D39">
        <v>205</v>
      </c>
    </row>
    <row r="40" spans="1:4" hidden="1">
      <c r="A40" t="s">
        <v>82</v>
      </c>
      <c r="B40">
        <v>7</v>
      </c>
      <c r="C40" t="s">
        <v>80</v>
      </c>
      <c r="D40">
        <v>209</v>
      </c>
    </row>
    <row r="41" spans="1:4" hidden="1">
      <c r="A41" t="s">
        <v>9</v>
      </c>
      <c r="B41">
        <v>8</v>
      </c>
      <c r="C41" t="s">
        <v>80</v>
      </c>
      <c r="D41">
        <v>139</v>
      </c>
    </row>
    <row r="42" spans="1:4" hidden="1">
      <c r="A42" t="s">
        <v>6</v>
      </c>
      <c r="B42">
        <v>8</v>
      </c>
      <c r="C42" t="s">
        <v>80</v>
      </c>
      <c r="D42">
        <v>139</v>
      </c>
    </row>
    <row r="43" spans="1:4" hidden="1">
      <c r="A43" t="s">
        <v>82</v>
      </c>
      <c r="B43">
        <v>8</v>
      </c>
      <c r="C43" t="s">
        <v>80</v>
      </c>
      <c r="D43">
        <v>139</v>
      </c>
    </row>
    <row r="44" spans="1:4" hidden="1">
      <c r="A44" t="s">
        <v>9</v>
      </c>
      <c r="B44">
        <v>9</v>
      </c>
      <c r="C44" t="s">
        <v>80</v>
      </c>
      <c r="D44">
        <v>317</v>
      </c>
    </row>
    <row r="45" spans="1:4" hidden="1">
      <c r="A45" t="s">
        <v>6</v>
      </c>
      <c r="B45">
        <v>9</v>
      </c>
      <c r="C45" t="s">
        <v>80</v>
      </c>
      <c r="D45">
        <v>307</v>
      </c>
    </row>
    <row r="46" spans="1:4" hidden="1">
      <c r="A46" t="s">
        <v>82</v>
      </c>
      <c r="B46">
        <v>9</v>
      </c>
      <c r="C46" t="s">
        <v>80</v>
      </c>
      <c r="D46">
        <v>317</v>
      </c>
    </row>
    <row r="47" spans="1:4" hidden="1">
      <c r="A47" t="s">
        <v>9</v>
      </c>
      <c r="B47">
        <v>10</v>
      </c>
      <c r="C47" t="s">
        <v>80</v>
      </c>
      <c r="D47">
        <v>207</v>
      </c>
    </row>
    <row r="48" spans="1:4" hidden="1">
      <c r="A48" t="s">
        <v>6</v>
      </c>
      <c r="B48">
        <v>10</v>
      </c>
      <c r="C48" t="s">
        <v>80</v>
      </c>
      <c r="D48">
        <v>205</v>
      </c>
    </row>
    <row r="49" spans="1:4" hidden="1">
      <c r="A49" t="s">
        <v>82</v>
      </c>
      <c r="B49">
        <v>10</v>
      </c>
      <c r="C49" t="s">
        <v>80</v>
      </c>
      <c r="D49">
        <v>207</v>
      </c>
    </row>
    <row r="50" spans="1:4" hidden="1">
      <c r="A50" t="s">
        <v>9</v>
      </c>
      <c r="B50">
        <v>11</v>
      </c>
      <c r="C50" t="s">
        <v>80</v>
      </c>
      <c r="D50">
        <v>150</v>
      </c>
    </row>
    <row r="51" spans="1:4" hidden="1">
      <c r="A51" t="s">
        <v>6</v>
      </c>
      <c r="B51">
        <v>11</v>
      </c>
      <c r="C51" t="s">
        <v>80</v>
      </c>
      <c r="D51">
        <v>150</v>
      </c>
    </row>
    <row r="52" spans="1:4" hidden="1">
      <c r="A52" t="s">
        <v>82</v>
      </c>
      <c r="B52">
        <v>11</v>
      </c>
      <c r="C52" t="s">
        <v>80</v>
      </c>
      <c r="D52">
        <v>150</v>
      </c>
    </row>
    <row r="53" spans="1:4" hidden="1">
      <c r="A53" t="s">
        <v>9</v>
      </c>
      <c r="B53">
        <v>13</v>
      </c>
      <c r="C53" t="s">
        <v>80</v>
      </c>
      <c r="D53">
        <v>184</v>
      </c>
    </row>
    <row r="54" spans="1:4" hidden="1">
      <c r="A54" t="s">
        <v>6</v>
      </c>
      <c r="B54">
        <v>13</v>
      </c>
      <c r="C54" t="s">
        <v>80</v>
      </c>
      <c r="D54">
        <v>184</v>
      </c>
    </row>
    <row r="55" spans="1:4" hidden="1">
      <c r="A55" t="s">
        <v>82</v>
      </c>
      <c r="B55">
        <v>13</v>
      </c>
      <c r="C55" t="s">
        <v>80</v>
      </c>
      <c r="D55">
        <v>184</v>
      </c>
    </row>
    <row r="56" spans="1:4" hidden="1">
      <c r="A56" t="s">
        <v>9</v>
      </c>
      <c r="B56">
        <v>14</v>
      </c>
      <c r="C56" t="s">
        <v>80</v>
      </c>
      <c r="D56">
        <v>312</v>
      </c>
    </row>
    <row r="57" spans="1:4" hidden="1">
      <c r="A57" t="s">
        <v>6</v>
      </c>
      <c r="B57">
        <v>14</v>
      </c>
      <c r="C57" t="s">
        <v>80</v>
      </c>
      <c r="D57">
        <v>312</v>
      </c>
    </row>
    <row r="58" spans="1:4" hidden="1">
      <c r="A58" t="s">
        <v>82</v>
      </c>
      <c r="B58">
        <v>14</v>
      </c>
      <c r="C58" t="s">
        <v>80</v>
      </c>
      <c r="D58">
        <v>312</v>
      </c>
    </row>
    <row r="59" spans="1:4" hidden="1">
      <c r="A59" t="s">
        <v>9</v>
      </c>
      <c r="B59">
        <v>15</v>
      </c>
      <c r="C59" t="s">
        <v>80</v>
      </c>
      <c r="D59">
        <v>186</v>
      </c>
    </row>
    <row r="60" spans="1:4" hidden="1">
      <c r="A60" t="s">
        <v>6</v>
      </c>
      <c r="B60">
        <v>15</v>
      </c>
      <c r="C60" t="s">
        <v>80</v>
      </c>
      <c r="D60">
        <v>186</v>
      </c>
    </row>
    <row r="61" spans="1:4" hidden="1">
      <c r="A61" t="s">
        <v>82</v>
      </c>
      <c r="B61">
        <v>15</v>
      </c>
      <c r="C61" t="s">
        <v>80</v>
      </c>
      <c r="D61">
        <v>186</v>
      </c>
    </row>
    <row r="62" spans="1:4" hidden="1">
      <c r="A62" t="s">
        <v>9</v>
      </c>
      <c r="B62">
        <v>16</v>
      </c>
      <c r="C62" t="s">
        <v>80</v>
      </c>
      <c r="D62">
        <v>164</v>
      </c>
    </row>
    <row r="63" spans="1:4" hidden="1">
      <c r="A63" t="s">
        <v>6</v>
      </c>
      <c r="B63">
        <v>16</v>
      </c>
      <c r="C63" t="s">
        <v>80</v>
      </c>
      <c r="D63">
        <v>125</v>
      </c>
    </row>
    <row r="64" spans="1:4" hidden="1">
      <c r="A64" t="s">
        <v>82</v>
      </c>
      <c r="B64">
        <v>16</v>
      </c>
      <c r="C64" t="s">
        <v>80</v>
      </c>
      <c r="D64">
        <v>164</v>
      </c>
    </row>
    <row r="65" spans="1:4" hidden="1">
      <c r="A65" t="s">
        <v>9</v>
      </c>
      <c r="B65">
        <v>17</v>
      </c>
      <c r="C65" t="s">
        <v>80</v>
      </c>
      <c r="D65">
        <v>85</v>
      </c>
    </row>
    <row r="66" spans="1:4" hidden="1">
      <c r="A66" t="s">
        <v>6</v>
      </c>
      <c r="B66">
        <v>17</v>
      </c>
      <c r="C66" t="s">
        <v>80</v>
      </c>
      <c r="D66">
        <v>40</v>
      </c>
    </row>
    <row r="67" spans="1:4" hidden="1">
      <c r="A67" t="s">
        <v>82</v>
      </c>
      <c r="B67">
        <v>17</v>
      </c>
      <c r="C67" t="s">
        <v>80</v>
      </c>
      <c r="D67">
        <v>85</v>
      </c>
    </row>
    <row r="68" spans="1:4" hidden="1">
      <c r="A68" t="s">
        <v>9</v>
      </c>
      <c r="B68">
        <v>27</v>
      </c>
      <c r="C68" t="s">
        <v>80</v>
      </c>
      <c r="D68">
        <v>334</v>
      </c>
    </row>
    <row r="69" spans="1:4" hidden="1">
      <c r="A69" t="s">
        <v>6</v>
      </c>
      <c r="B69">
        <v>27</v>
      </c>
      <c r="C69" t="s">
        <v>80</v>
      </c>
      <c r="D69">
        <v>334</v>
      </c>
    </row>
    <row r="70" spans="1:4" hidden="1">
      <c r="A70" t="s">
        <v>82</v>
      </c>
      <c r="B70">
        <v>27</v>
      </c>
      <c r="C70" t="s">
        <v>80</v>
      </c>
      <c r="D70">
        <v>334</v>
      </c>
    </row>
    <row r="71" spans="1:4" hidden="1">
      <c r="A71" t="s">
        <v>81</v>
      </c>
      <c r="B71">
        <v>28</v>
      </c>
      <c r="C71" t="s">
        <v>80</v>
      </c>
      <c r="D71">
        <v>8</v>
      </c>
    </row>
    <row r="72" spans="1:4" hidden="1">
      <c r="A72" t="s">
        <v>9</v>
      </c>
      <c r="B72">
        <v>28</v>
      </c>
      <c r="C72" t="s">
        <v>80</v>
      </c>
      <c r="D72">
        <v>382</v>
      </c>
    </row>
    <row r="73" spans="1:4" hidden="1">
      <c r="A73" t="s">
        <v>6</v>
      </c>
      <c r="B73">
        <v>28</v>
      </c>
      <c r="C73" t="s">
        <v>80</v>
      </c>
      <c r="D73">
        <v>382</v>
      </c>
    </row>
    <row r="74" spans="1:4" hidden="1">
      <c r="A74" t="s">
        <v>82</v>
      </c>
      <c r="B74">
        <v>28</v>
      </c>
      <c r="C74" t="s">
        <v>80</v>
      </c>
      <c r="D74">
        <v>382</v>
      </c>
    </row>
    <row r="75" spans="1:4" hidden="1">
      <c r="A75" t="s">
        <v>81</v>
      </c>
      <c r="B75">
        <v>29</v>
      </c>
      <c r="C75" t="s">
        <v>80</v>
      </c>
      <c r="D75">
        <v>608</v>
      </c>
    </row>
    <row r="76" spans="1:4" hidden="1">
      <c r="A76" t="s">
        <v>9</v>
      </c>
      <c r="B76">
        <v>29</v>
      </c>
      <c r="C76" t="s">
        <v>80</v>
      </c>
      <c r="D76">
        <v>364</v>
      </c>
    </row>
    <row r="77" spans="1:4" hidden="1">
      <c r="A77" t="s">
        <v>6</v>
      </c>
      <c r="B77">
        <v>29</v>
      </c>
      <c r="C77" t="s">
        <v>80</v>
      </c>
      <c r="D77">
        <v>304</v>
      </c>
    </row>
    <row r="78" spans="1:4" hidden="1">
      <c r="A78" t="s">
        <v>82</v>
      </c>
      <c r="B78">
        <v>29</v>
      </c>
      <c r="C78" t="s">
        <v>80</v>
      </c>
      <c r="D78">
        <v>364</v>
      </c>
    </row>
    <row r="79" spans="1:4" hidden="1">
      <c r="A79" t="s">
        <v>9</v>
      </c>
      <c r="B79">
        <v>30</v>
      </c>
      <c r="C79" t="s">
        <v>80</v>
      </c>
      <c r="D79">
        <v>230</v>
      </c>
    </row>
    <row r="80" spans="1:4" hidden="1">
      <c r="A80" t="s">
        <v>6</v>
      </c>
      <c r="B80">
        <v>30</v>
      </c>
      <c r="C80" t="s">
        <v>80</v>
      </c>
      <c r="D80">
        <v>230</v>
      </c>
    </row>
    <row r="81" spans="1:4" hidden="1">
      <c r="A81" t="s">
        <v>82</v>
      </c>
      <c r="B81">
        <v>30</v>
      </c>
      <c r="C81" t="s">
        <v>80</v>
      </c>
      <c r="D81">
        <v>230</v>
      </c>
    </row>
    <row r="82" spans="1:4" hidden="1">
      <c r="A82" t="s">
        <v>81</v>
      </c>
      <c r="B82">
        <v>31</v>
      </c>
      <c r="C82" t="s">
        <v>80</v>
      </c>
      <c r="D82">
        <v>80</v>
      </c>
    </row>
    <row r="83" spans="1:4" hidden="1">
      <c r="A83" t="s">
        <v>9</v>
      </c>
      <c r="B83">
        <v>31</v>
      </c>
      <c r="C83" t="s">
        <v>80</v>
      </c>
      <c r="D83">
        <v>727</v>
      </c>
    </row>
    <row r="84" spans="1:4" hidden="1">
      <c r="A84" t="s">
        <v>6</v>
      </c>
      <c r="B84">
        <v>31</v>
      </c>
      <c r="C84" t="s">
        <v>80</v>
      </c>
      <c r="D84">
        <v>645</v>
      </c>
    </row>
    <row r="85" spans="1:4" hidden="1">
      <c r="A85" t="s">
        <v>82</v>
      </c>
      <c r="B85">
        <v>31</v>
      </c>
      <c r="C85" t="s">
        <v>80</v>
      </c>
      <c r="D85">
        <v>727</v>
      </c>
    </row>
    <row r="86" spans="1:4" hidden="1">
      <c r="A86" t="s">
        <v>81</v>
      </c>
      <c r="B86">
        <v>0</v>
      </c>
      <c r="C86" t="s">
        <v>80</v>
      </c>
      <c r="D86">
        <v>2464</v>
      </c>
    </row>
    <row r="87" spans="1:4" hidden="1">
      <c r="A87" t="s">
        <v>9</v>
      </c>
      <c r="B87">
        <v>0</v>
      </c>
      <c r="C87" t="s">
        <v>80</v>
      </c>
      <c r="D87">
        <v>4989</v>
      </c>
    </row>
    <row r="88" spans="1:4">
      <c r="A88" t="s">
        <v>6</v>
      </c>
      <c r="B88">
        <v>0</v>
      </c>
      <c r="C88" t="s">
        <v>80</v>
      </c>
      <c r="D88">
        <v>4526</v>
      </c>
    </row>
    <row r="89" spans="1:4" hidden="1">
      <c r="A89" t="s">
        <v>82</v>
      </c>
      <c r="B89">
        <v>0</v>
      </c>
      <c r="C89" t="s">
        <v>80</v>
      </c>
      <c r="D89">
        <v>4989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J12"/>
  <sheetViews>
    <sheetView workbookViewId="0">
      <pane xSplit="4" ySplit="4" topLeftCell="L5" activePane="bottomRight" state="frozen"/>
      <selection pane="topRight" activeCell="E1" sqref="E1"/>
      <selection pane="bottomLeft" activeCell="A5" sqref="A5"/>
      <selection pane="bottomRight" activeCell="L7" sqref="L7"/>
    </sheetView>
  </sheetViews>
  <sheetFormatPr defaultRowHeight="12"/>
  <cols>
    <col min="1" max="1" width="10" style="1" bestFit="1" customWidth="1"/>
    <col min="2" max="2" width="13.42578125" style="1" customWidth="1"/>
    <col min="3" max="3" width="32.140625" style="1" customWidth="1"/>
    <col min="4" max="4" width="7.140625" style="1" bestFit="1" customWidth="1"/>
    <col min="5" max="6" width="4.140625" style="1" bestFit="1" customWidth="1"/>
    <col min="7" max="10" width="4.140625" style="1" customWidth="1"/>
    <col min="11" max="12" width="4.140625" style="1" bestFit="1" customWidth="1"/>
    <col min="13" max="13" width="4.140625" style="1" customWidth="1"/>
    <col min="14" max="29" width="5" style="1" bestFit="1" customWidth="1"/>
    <col min="30" max="35" width="5" style="1" customWidth="1"/>
    <col min="36" max="36" width="6.85546875" style="1" bestFit="1" customWidth="1"/>
    <col min="37" max="16384" width="9.140625" style="1"/>
  </cols>
  <sheetData>
    <row r="1" spans="1:36" ht="27" thickBot="1">
      <c r="A1" s="32" t="s">
        <v>87</v>
      </c>
      <c r="B1" s="32"/>
      <c r="C1" s="12"/>
      <c r="E1" s="34" t="s">
        <v>89</v>
      </c>
      <c r="F1" s="34"/>
      <c r="G1" s="34"/>
      <c r="H1" s="34"/>
      <c r="I1" s="34"/>
      <c r="J1" s="13" t="s">
        <v>80</v>
      </c>
      <c r="K1" s="14" t="s">
        <v>77</v>
      </c>
      <c r="L1" s="15" t="s">
        <v>79</v>
      </c>
      <c r="M1" s="16" t="s">
        <v>83</v>
      </c>
      <c r="N1" s="17" t="s">
        <v>78</v>
      </c>
    </row>
    <row r="2" spans="1:36" ht="12.75" thickTop="1"/>
    <row r="3" spans="1:36" ht="12.75" customHeight="1">
      <c r="E3" s="7" t="str">
        <f>MID(CHOOSE(WEEKDAY(DATE(MasterSheet!$B1,MasterSheet!$A1,Table_ExternalData_1[[#Headers],[1]])),"Sunday","Monday","Tuesday","Wednesday","Thursday","Friday","Saturday"),1,3)</f>
        <v>Wed</v>
      </c>
      <c r="F3" s="7" t="str">
        <f>MID(CHOOSE(WEEKDAY(DATE(MasterSheet!$B1,MasterSheet!$A1,Table_ExternalData_1[[#Headers],[2]])),"Sunday","Monday","Tuesday","Wednesday","Thursday","Friday","Saturday"),1,3)</f>
        <v>Thu</v>
      </c>
      <c r="G3" s="7" t="str">
        <f>MID(CHOOSE(WEEKDAY(DATE(MasterSheet!$B1,MasterSheet!$A1,Table_ExternalData_1[[#Headers],[3]])),"Sunday","Monday","Tuesday","Wednesday","Thursday","Friday","Saturday"),1,3)</f>
        <v>Fri</v>
      </c>
      <c r="H3" s="7" t="str">
        <f>MID(CHOOSE(WEEKDAY(DATE(MasterSheet!$B1,MasterSheet!$A1,Table_ExternalData_1[[#Headers],[4]])),"Sunday","Monday","Tuesday","Wednesday","Thursday","Friday","Saturday"),1,3)</f>
        <v>Sat</v>
      </c>
      <c r="I3" s="7" t="str">
        <f>MID(CHOOSE(WEEKDAY(DATE(MasterSheet!$B1,MasterSheet!$A1,Table_ExternalData_1[[#Headers],[5]])),"Sunday","Monday","Tuesday","Wednesday","Thursday","Friday","Saturday"),1,3)</f>
        <v>Sun</v>
      </c>
      <c r="J3" s="7" t="str">
        <f>MID(CHOOSE(WEEKDAY(DATE(MasterSheet!$B1,MasterSheet!$A1,Table_ExternalData_1[[#Headers],[6]])),"Sunday","Monday","Tuesday","Wednesday","Thursday","Friday","Saturday"),1,3)</f>
        <v>Mon</v>
      </c>
      <c r="K3" s="7" t="str">
        <f>MID(CHOOSE(WEEKDAY(DATE(MasterSheet!$B1,MasterSheet!$A1,Table_ExternalData_1[[#Headers],[7]])),"Sunday","Monday","Tuesday","Wednesday","Thursday","Friday","Saturday"),1,3)</f>
        <v>Tue</v>
      </c>
      <c r="L3" s="7" t="str">
        <f>MID(CHOOSE(WEEKDAY(DATE(MasterSheet!$B1,MasterSheet!$A1,Table_ExternalData_1[[#Headers],[8]])),"Sunday","Monday","Tuesday","Wednesday","Thursday","Friday","Saturday"),1,3)</f>
        <v>Wed</v>
      </c>
      <c r="M3" s="7" t="str">
        <f>MID(CHOOSE(WEEKDAY(DATE(MasterSheet!$B1,MasterSheet!$A1,Table_ExternalData_1[[#Headers],[9]])),"Sunday","Monday","Tuesday","Wednesday","Thursday","Friday","Saturday"),1,3)</f>
        <v>Thu</v>
      </c>
      <c r="N3" s="7" t="str">
        <f>MID(CHOOSE(WEEKDAY(DATE(MasterSheet!$B1,MasterSheet!$A1,Table_ExternalData_1[[#Headers],[10]])),"Sunday","Monday","Tuesday","Wednesday","Thursday","Friday","Saturday"),1,3)</f>
        <v>Fri</v>
      </c>
      <c r="O3" s="7" t="str">
        <f>MID(CHOOSE(WEEKDAY(DATE(MasterSheet!$B1,MasterSheet!$A1,Table_ExternalData_1[[#Headers],[11]])),"Sunday","Monday","Tuesday","Wednesday","Thursday","Friday","Saturday"),1,3)</f>
        <v>Sat</v>
      </c>
      <c r="P3" s="7" t="str">
        <f>MID(CHOOSE(WEEKDAY(DATE(MasterSheet!$B1,MasterSheet!$A1,Table_ExternalData_1[[#Headers],[12]])),"Sunday","Monday","Tuesday","Wednesday","Thursday","Friday","Saturday"),1,3)</f>
        <v>Sun</v>
      </c>
      <c r="Q3" s="7" t="str">
        <f>MID(CHOOSE(WEEKDAY(DATE(MasterSheet!$B1,MasterSheet!$A1,Table_ExternalData_1[[#Headers],[13]])),"Sunday","Monday","Tuesday","Wednesday","Thursday","Friday","Saturday"),1,3)</f>
        <v>Mon</v>
      </c>
      <c r="R3" s="7" t="str">
        <f>MID(CHOOSE(WEEKDAY(DATE(MasterSheet!$B1,MasterSheet!$A1,Table_ExternalData_1[[#Headers],[14]])),"Sunday","Monday","Tuesday","Wednesday","Thursday","Friday","Saturday"),1,3)</f>
        <v>Tue</v>
      </c>
      <c r="S3" s="7" t="str">
        <f>MID(CHOOSE(WEEKDAY(DATE(MasterSheet!$B1,MasterSheet!$A1,Table_ExternalData_1[[#Headers],[15]])),"Sunday","Monday","Tuesday","Wednesday","Thursday","Friday","Saturday"),1,3)</f>
        <v>Wed</v>
      </c>
      <c r="T3" s="7" t="str">
        <f>MID(CHOOSE(WEEKDAY(DATE(MasterSheet!$B1,MasterSheet!$A1,Table_ExternalData_1[[#Headers],[16]])),"Sunday","Monday","Tuesday","Wednesday","Thursday","Friday","Saturday"),1,3)</f>
        <v>Thu</v>
      </c>
      <c r="U3" s="7" t="str">
        <f>MID(CHOOSE(WEEKDAY(DATE(MasterSheet!$B1,MasterSheet!$A1,Table_ExternalData_1[[#Headers],[17]])),"Sunday","Monday","Tuesday","Wednesday","Thursday","Friday","Saturday"),1,3)</f>
        <v>Fri</v>
      </c>
      <c r="V3" s="7" t="str">
        <f>MID(CHOOSE(WEEKDAY(DATE(MasterSheet!$B1,MasterSheet!$A1,Table_ExternalData_1[[#Headers],[18]])),"Sunday","Monday","Tuesday","Wednesday","Thursday","Friday","Saturday"),1,3)</f>
        <v>Sat</v>
      </c>
      <c r="W3" s="7" t="str">
        <f>MID(CHOOSE(WEEKDAY(DATE(MasterSheet!$B1,MasterSheet!$A1,Table_ExternalData_1[[#Headers],[19]])),"Sunday","Monday","Tuesday","Wednesday","Thursday","Friday","Saturday"),1,3)</f>
        <v>Sun</v>
      </c>
      <c r="X3" s="7" t="str">
        <f>MID(CHOOSE(WEEKDAY(DATE(MasterSheet!$B1,MasterSheet!$A1,Table_ExternalData_1[[#Headers],[20]])),"Sunday","Monday","Tuesday","Wednesday","Thursday","Friday","Saturday"),1,3)</f>
        <v>Mon</v>
      </c>
      <c r="Y3" s="7" t="str">
        <f>MID(CHOOSE(WEEKDAY(DATE(MasterSheet!$B1,MasterSheet!$A1,Table_ExternalData_1[[#Headers],[21]])),"Sunday","Monday","Tuesday","Wednesday","Thursday","Friday","Saturday"),1,3)</f>
        <v>Tue</v>
      </c>
      <c r="Z3" s="7" t="str">
        <f>MID(CHOOSE(WEEKDAY(DATE(MasterSheet!$B1,MasterSheet!$A1,Table_ExternalData_1[[#Headers],[22]])),"Sunday","Monday","Tuesday","Wednesday","Thursday","Friday","Saturday"),1,3)</f>
        <v>Wed</v>
      </c>
      <c r="AA3" s="7" t="str">
        <f>MID(CHOOSE(WEEKDAY(DATE(MasterSheet!$B1,MasterSheet!$A1,Table_ExternalData_1[[#Headers],[23]])),"Sunday","Monday","Tuesday","Wednesday","Thursday","Friday","Saturday"),1,3)</f>
        <v>Thu</v>
      </c>
      <c r="AB3" s="7" t="str">
        <f>MID(CHOOSE(WEEKDAY(DATE(MasterSheet!$B1,MasterSheet!$A1,Table_ExternalData_1[[#Headers],[24]])),"Sunday","Monday","Tuesday","Wednesday","Thursday","Friday","Saturday"),1,3)</f>
        <v>Fri</v>
      </c>
      <c r="AC3" s="7" t="str">
        <f>MID(CHOOSE(WEEKDAY(DATE(MasterSheet!$B1,MasterSheet!$A1,Table_ExternalData_1[[#Headers],[25]])),"Sunday","Monday","Tuesday","Wednesday","Thursday","Friday","Saturday"),1,3)</f>
        <v>Sat</v>
      </c>
      <c r="AD3" s="7" t="str">
        <f>MID(CHOOSE(WEEKDAY(DATE(MasterSheet!$B1,MasterSheet!$A1,Table_ExternalData_1[[#Headers],[26]])),"Sunday","Monday","Tuesday","Wednesday","Thursday","Friday","Saturday"),1,3)</f>
        <v>Sun</v>
      </c>
      <c r="AE3" s="7" t="str">
        <f>MID(CHOOSE(WEEKDAY(DATE(MasterSheet!$B1,MasterSheet!$A1,Table_ExternalData_1[[#Headers],[27]])),"Sunday","Monday","Tuesday","Wednesday","Thursday","Friday","Saturday"),1,3)</f>
        <v>Mon</v>
      </c>
      <c r="AF3" s="7" t="str">
        <f>MID(CHOOSE(WEEKDAY(DATE(MasterSheet!$B1,MasterSheet!$A1,Table_ExternalData_1[[#Headers],[28]])),"Sunday","Monday","Tuesday","Wednesday","Thursday","Friday","Saturday"),1,3)</f>
        <v>Tue</v>
      </c>
      <c r="AG3" s="7" t="str">
        <f>MID(CHOOSE(WEEKDAY(DATE(MasterSheet!$B1,MasterSheet!$A1,Table_ExternalData_1[[#Headers],[29]])),"Sunday","Monday","Tuesday","Wednesday","Thursday","Friday","Saturday"),1,3)</f>
        <v>Wed</v>
      </c>
      <c r="AH3" s="7" t="str">
        <f>MID(CHOOSE(WEEKDAY(DATE(MasterSheet!$B1,MasterSheet!$A1,Table_ExternalData_1[[#Headers],[30]])),"Sunday","Monday","Tuesday","Wednesday","Thursday","Friday","Saturday"),1,3)</f>
        <v>Thu</v>
      </c>
      <c r="AI3" s="7" t="str">
        <f>MID(CHOOSE(WEEKDAY(DATE(MasterSheet!$B1,MasterSheet!$A1,Table_ExternalData_1[[#Headers],[31]])),"Sunday","Monday","Tuesday","Wednesday","Thursday","Friday","Saturday"),1,3)</f>
        <v>Fri</v>
      </c>
    </row>
    <row r="4" spans="1:36">
      <c r="A4" s="1" t="s">
        <v>2</v>
      </c>
      <c r="B4" s="1" t="s">
        <v>12</v>
      </c>
      <c r="C4" s="1" t="s">
        <v>13</v>
      </c>
      <c r="D4" s="1" t="s">
        <v>76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1" t="s">
        <v>38</v>
      </c>
      <c r="Q4" s="1" t="s">
        <v>39</v>
      </c>
      <c r="R4" s="1" t="s">
        <v>40</v>
      </c>
      <c r="S4" s="1" t="s">
        <v>41</v>
      </c>
      <c r="T4" s="1" t="s">
        <v>42</v>
      </c>
      <c r="U4" s="1" t="s">
        <v>43</v>
      </c>
      <c r="V4" s="1" t="s">
        <v>44</v>
      </c>
      <c r="W4" s="1" t="s">
        <v>45</v>
      </c>
      <c r="X4" s="1" t="s">
        <v>46</v>
      </c>
      <c r="Y4" s="1" t="s">
        <v>47</v>
      </c>
      <c r="Z4" s="1" t="s">
        <v>48</v>
      </c>
      <c r="AA4" s="1" t="s">
        <v>49</v>
      </c>
      <c r="AB4" s="1" t="s">
        <v>50</v>
      </c>
      <c r="AC4" s="1" t="s">
        <v>51</v>
      </c>
      <c r="AD4" s="1" t="s">
        <v>52</v>
      </c>
      <c r="AE4" s="1" t="s">
        <v>53</v>
      </c>
      <c r="AF4" s="1" t="s">
        <v>54</v>
      </c>
      <c r="AG4" s="1" t="s">
        <v>55</v>
      </c>
      <c r="AH4" s="1" t="s">
        <v>56</v>
      </c>
      <c r="AI4" s="1" t="s">
        <v>57</v>
      </c>
      <c r="AJ4" s="1" t="s">
        <v>22</v>
      </c>
    </row>
    <row r="5" spans="1:36" hidden="1">
      <c r="A5" s="1" t="s">
        <v>8</v>
      </c>
      <c r="B5" s="1" t="s">
        <v>14</v>
      </c>
      <c r="C5" s="1" t="s">
        <v>15</v>
      </c>
      <c r="D5" s="11" t="s">
        <v>79</v>
      </c>
      <c r="E5" s="10">
        <f>SUMIFS(IsQList,IsIList,Table_ExternalData_15[[#This Row],[item_key]],IsITypeList,Table_ExternalData_15[[#This Row],[IType]],IsDList,Table_ExternalData_15[[#Headers],[1]])</f>
        <v>0</v>
      </c>
      <c r="F5" s="10">
        <f>SUMIFS(IsQList,IsIList,Table_ExternalData_15[[#This Row],[item_key]],IsITypeList,Table_ExternalData_15[[#This Row],[IType]],IsDList,Table_ExternalData_15[[#Headers],[2]])</f>
        <v>0</v>
      </c>
      <c r="G5" s="10">
        <f>SUMIFS(IsQList,IsIList,Table_ExternalData_15[[#This Row],[item_key]],IsITypeList,Table_ExternalData_15[[#This Row],[IType]],IsDList,Table_ExternalData_15[[#Headers],[3]])</f>
        <v>0</v>
      </c>
      <c r="H5" s="10">
        <f>SUMIFS(IsQList,IsIList,Table_ExternalData_15[[#This Row],[item_key]],IsITypeList,Table_ExternalData_15[[#This Row],[IType]],IsDList,Table_ExternalData_15[[#Headers],[4]])</f>
        <v>0</v>
      </c>
      <c r="I5" s="10">
        <f>SUMIFS(IsQList,IsIList,Table_ExternalData_15[[#This Row],[item_key]],IsITypeList,Table_ExternalData_15[[#This Row],[IType]],IsDList,Table_ExternalData_15[[#Headers],[5]])</f>
        <v>0</v>
      </c>
      <c r="J5" s="10">
        <f>SUMIFS(IsQList,IsIList,Table_ExternalData_15[[#This Row],[item_key]],IsITypeList,Table_ExternalData_15[[#This Row],[IType]],IsDList,Table_ExternalData_15[[#Headers],[6]])</f>
        <v>0</v>
      </c>
      <c r="K5" s="10">
        <f>SUMIFS(IsQList,IsIList,Table_ExternalData_15[[#This Row],[item_key]],IsITypeList,Table_ExternalData_15[[#This Row],[IType]],IsDList,Table_ExternalData_15[[#Headers],[7]])</f>
        <v>0</v>
      </c>
      <c r="L5" s="10">
        <f>SUMIFS(IsQList,IsIList,Table_ExternalData_15[[#This Row],[item_key]],IsITypeList,Table_ExternalData_15[[#This Row],[IType]],IsDList,Table_ExternalData_15[[#Headers],[8]])</f>
        <v>0</v>
      </c>
      <c r="M5" s="10">
        <f>SUMIFS(IsQList,IsIList,Table_ExternalData_15[[#This Row],[item_key]],IsITypeList,Table_ExternalData_15[[#This Row],[IType]],IsDList,Table_ExternalData_15[[#Headers],[9]])</f>
        <v>0</v>
      </c>
      <c r="N5" s="10">
        <f>SUMIFS(IsQList,IsIList,Table_ExternalData_15[[#This Row],[item_key]],IsITypeList,Table_ExternalData_15[[#This Row],[IType]],IsDList,Table_ExternalData_15[[#Headers],[10]])</f>
        <v>0</v>
      </c>
      <c r="O5" s="10">
        <f>SUMIFS(IsQList,IsIList,Table_ExternalData_15[[#This Row],[item_key]],IsITypeList,Table_ExternalData_15[[#This Row],[IType]],IsDList,Table_ExternalData_15[[#Headers],[11]])</f>
        <v>0</v>
      </c>
      <c r="P5" s="10">
        <f>SUMIFS(IsQList,IsIList,Table_ExternalData_15[[#This Row],[item_key]],IsITypeList,Table_ExternalData_15[[#This Row],[IType]],IsDList,Table_ExternalData_15[[#Headers],[12]])</f>
        <v>0</v>
      </c>
      <c r="Q5" s="10">
        <f>SUMIFS(IsQList,IsIList,Table_ExternalData_15[[#This Row],[item_key]],IsITypeList,Table_ExternalData_15[[#This Row],[IType]],IsDList,Table_ExternalData_15[[#Headers],[13]])</f>
        <v>0</v>
      </c>
      <c r="R5" s="10">
        <f>SUMIFS(IsQList,IsIList,Table_ExternalData_15[[#This Row],[item_key]],IsITypeList,Table_ExternalData_15[[#This Row],[IType]],IsDList,Table_ExternalData_15[[#Headers],[14]])</f>
        <v>0</v>
      </c>
      <c r="S5" s="10">
        <f>SUMIFS(IsQList,IsIList,Table_ExternalData_15[[#This Row],[item_key]],IsITypeList,Table_ExternalData_15[[#This Row],[IType]],IsDList,Table_ExternalData_15[[#Headers],[15]])</f>
        <v>0</v>
      </c>
      <c r="T5" s="10">
        <f>SUMIFS(IsQList,IsIList,Table_ExternalData_15[[#This Row],[item_key]],IsITypeList,Table_ExternalData_15[[#This Row],[IType]],IsDList,Table_ExternalData_15[[#Headers],[16]])</f>
        <v>0</v>
      </c>
      <c r="U5" s="10">
        <f>SUMIFS(IsQList,IsIList,Table_ExternalData_15[[#This Row],[item_key]],IsITypeList,Table_ExternalData_15[[#This Row],[IType]],IsDList,Table_ExternalData_15[[#Headers],[17]])</f>
        <v>0</v>
      </c>
      <c r="V5" s="10">
        <f>SUMIFS(IsQList,IsIList,Table_ExternalData_15[[#This Row],[item_key]],IsITypeList,Table_ExternalData_15[[#This Row],[IType]],IsDList,Table_ExternalData_15[[#Headers],[18]])</f>
        <v>0</v>
      </c>
      <c r="W5" s="10">
        <f>SUMIFS(IsQList,IsIList,Table_ExternalData_15[[#This Row],[item_key]],IsITypeList,Table_ExternalData_15[[#This Row],[IType]],IsDList,Table_ExternalData_15[[#Headers],[19]])</f>
        <v>0</v>
      </c>
      <c r="X5" s="10">
        <f>SUMIFS(IsQList,IsIList,Table_ExternalData_15[[#This Row],[item_key]],IsITypeList,Table_ExternalData_15[[#This Row],[IType]],IsDList,Table_ExternalData_15[[#Headers],[20]])</f>
        <v>0</v>
      </c>
      <c r="Y5" s="10">
        <f>SUMIFS(IsQList,IsIList,Table_ExternalData_15[[#This Row],[item_key]],IsITypeList,Table_ExternalData_15[[#This Row],[IType]],IsDList,Table_ExternalData_15[[#Headers],[21]])</f>
        <v>0</v>
      </c>
      <c r="Z5" s="10">
        <f>SUMIFS(IsQList,IsIList,Table_ExternalData_15[[#This Row],[item_key]],IsITypeList,Table_ExternalData_15[[#This Row],[IType]],IsDList,Table_ExternalData_15[[#Headers],[22]])</f>
        <v>0</v>
      </c>
      <c r="AA5" s="10">
        <f>SUMIFS(IsQList,IsIList,Table_ExternalData_15[[#This Row],[item_key]],IsITypeList,Table_ExternalData_15[[#This Row],[IType]],IsDList,Table_ExternalData_15[[#Headers],[23]])</f>
        <v>0</v>
      </c>
      <c r="AB5" s="10">
        <f>SUMIFS(IsQList,IsIList,Table_ExternalData_15[[#This Row],[item_key]],IsITypeList,Table_ExternalData_15[[#This Row],[IType]],IsDList,Table_ExternalData_15[[#Headers],[24]])</f>
        <v>0</v>
      </c>
      <c r="AC5" s="10">
        <f>SUMIFS(IsQList,IsIList,Table_ExternalData_15[[#This Row],[item_key]],IsITypeList,Table_ExternalData_15[[#This Row],[IType]],IsDList,Table_ExternalData_15[[#Headers],[25]])</f>
        <v>0</v>
      </c>
      <c r="AD5" s="10">
        <f>SUMIFS(IsQList,IsIList,Table_ExternalData_15[[#This Row],[item_key]],IsITypeList,Table_ExternalData_15[[#This Row],[IType]],IsDList,Table_ExternalData_15[[#Headers],[26]])</f>
        <v>0</v>
      </c>
      <c r="AE5" s="10">
        <f>SUMIFS(IsQList,IsIList,Table_ExternalData_15[[#This Row],[item_key]],IsITypeList,Table_ExternalData_15[[#This Row],[IType]],IsDList,Table_ExternalData_15[[#Headers],[27]])</f>
        <v>0</v>
      </c>
      <c r="AF5" s="10">
        <f>SUMIFS(IsQList,IsIList,Table_ExternalData_15[[#This Row],[item_key]],IsITypeList,Table_ExternalData_15[[#This Row],[IType]],IsDList,Table_ExternalData_15[[#Headers],[28]])</f>
        <v>0</v>
      </c>
      <c r="AG5" s="10">
        <f>SUMIFS(IsQList,IsIList,Table_ExternalData_15[[#This Row],[item_key]],IsITypeList,Table_ExternalData_15[[#This Row],[IType]],IsDList,Table_ExternalData_15[[#Headers],[29]])</f>
        <v>6</v>
      </c>
      <c r="AH5" s="10">
        <f>SUMIFS(IsQList,IsIList,Table_ExternalData_15[[#This Row],[item_key]],IsITypeList,Table_ExternalData_15[[#This Row],[IType]],IsDList,Table_ExternalData_15[[#Headers],[30]])</f>
        <v>0</v>
      </c>
      <c r="AI5" s="10">
        <f>SUMIFS(IsQList,IsIList,Table_ExternalData_15[[#This Row],[item_key]],IsITypeList,Table_ExternalData_15[[#This Row],[IType]],IsDList,Table_ExternalData_15[[#Headers],[31]])</f>
        <v>0</v>
      </c>
      <c r="AJ5" s="10">
        <f>SUM(Table_ExternalData_15[[#This Row],[1]:[31]])</f>
        <v>6</v>
      </c>
    </row>
    <row r="6" spans="1:36" hidden="1">
      <c r="A6" s="1" t="s">
        <v>81</v>
      </c>
      <c r="B6" s="1" t="s">
        <v>84</v>
      </c>
      <c r="C6" s="1" t="s">
        <v>16</v>
      </c>
      <c r="D6" s="11" t="s">
        <v>80</v>
      </c>
      <c r="E6" s="10">
        <f>SUMIFS(IsQList,IsIList,Table_ExternalData_15[[#This Row],[item_key]],IsITypeList,Table_ExternalData_15[[#This Row],[IType]],IsDList,Table_ExternalData_15[[#Headers],[1]])</f>
        <v>8</v>
      </c>
      <c r="F6" s="10">
        <f>SUMIFS(IsQList,IsIList,Table_ExternalData_15[[#This Row],[item_key]],IsITypeList,Table_ExternalData_15[[#This Row],[IType]],IsDList,Table_ExternalData_15[[#Headers],[2]])</f>
        <v>0</v>
      </c>
      <c r="G6" s="10">
        <f>SUMIFS(IsQList,IsIList,Table_ExternalData_15[[#This Row],[item_key]],IsITypeList,Table_ExternalData_15[[#This Row],[IType]],IsDList,Table_ExternalData_15[[#Headers],[3]])</f>
        <v>0</v>
      </c>
      <c r="H6" s="10">
        <f>SUMIFS(IsQList,IsIList,Table_ExternalData_15[[#This Row],[item_key]],IsITypeList,Table_ExternalData_15[[#This Row],[IType]],IsDList,Table_ExternalData_15[[#Headers],[4]])</f>
        <v>560</v>
      </c>
      <c r="I6" s="10">
        <f>SUMIFS(IsQList,IsIList,Table_ExternalData_15[[#This Row],[item_key]],IsITypeList,Table_ExternalData_15[[#This Row],[IType]],IsDList,Table_ExternalData_15[[#Headers],[5]])</f>
        <v>0</v>
      </c>
      <c r="J6" s="10">
        <f>SUMIFS(IsQList,IsIList,Table_ExternalData_15[[#This Row],[item_key]],IsITypeList,Table_ExternalData_15[[#This Row],[IType]],IsDList,Table_ExternalData_15[[#Headers],[6]])</f>
        <v>184</v>
      </c>
      <c r="K6" s="10">
        <f>SUMIFS(IsQList,IsIList,Table_ExternalData_15[[#This Row],[item_key]],IsITypeList,Table_ExternalData_15[[#This Row],[IType]],IsDList,Table_ExternalData_15[[#Headers],[7]])</f>
        <v>0</v>
      </c>
      <c r="L6" s="10">
        <f>SUMIFS(IsQList,IsIList,Table_ExternalData_15[[#This Row],[item_key]],IsITypeList,Table_ExternalData_15[[#This Row],[IType]],IsDList,Table_ExternalData_15[[#Headers],[8]])</f>
        <v>0</v>
      </c>
      <c r="M6" s="10">
        <f>SUMIFS(IsQList,IsIList,Table_ExternalData_15[[#This Row],[item_key]],IsITypeList,Table_ExternalData_15[[#This Row],[IType]],IsDList,Table_ExternalData_15[[#Headers],[9]])</f>
        <v>0</v>
      </c>
      <c r="N6" s="10">
        <f>SUMIFS(IsQList,IsIList,Table_ExternalData_15[[#This Row],[item_key]],IsITypeList,Table_ExternalData_15[[#This Row],[IType]],IsDList,Table_ExternalData_15[[#Headers],[10]])</f>
        <v>0</v>
      </c>
      <c r="O6" s="10">
        <f>SUMIFS(IsQList,IsIList,Table_ExternalData_15[[#This Row],[item_key]],IsITypeList,Table_ExternalData_15[[#This Row],[IType]],IsDList,Table_ExternalData_15[[#Headers],[11]])</f>
        <v>0</v>
      </c>
      <c r="P6" s="10">
        <f>SUMIFS(IsQList,IsIList,Table_ExternalData_15[[#This Row],[item_key]],IsITypeList,Table_ExternalData_15[[#This Row],[IType]],IsDList,Table_ExternalData_15[[#Headers],[12]])</f>
        <v>0</v>
      </c>
      <c r="Q6" s="10">
        <f>SUMIFS(IsQList,IsIList,Table_ExternalData_15[[#This Row],[item_key]],IsITypeList,Table_ExternalData_15[[#This Row],[IType]],IsDList,Table_ExternalData_15[[#Headers],[13]])</f>
        <v>0</v>
      </c>
      <c r="R6" s="10">
        <f>SUMIFS(IsQList,IsIList,Table_ExternalData_15[[#This Row],[item_key]],IsITypeList,Table_ExternalData_15[[#This Row],[IType]],IsDList,Table_ExternalData_15[[#Headers],[14]])</f>
        <v>0</v>
      </c>
      <c r="S6" s="10">
        <f>SUMIFS(IsQList,IsIList,Table_ExternalData_15[[#This Row],[item_key]],IsITypeList,Table_ExternalData_15[[#This Row],[IType]],IsDList,Table_ExternalData_15[[#Headers],[15]])</f>
        <v>0</v>
      </c>
      <c r="T6" s="10">
        <f>SUMIFS(IsQList,IsIList,Table_ExternalData_15[[#This Row],[item_key]],IsITypeList,Table_ExternalData_15[[#This Row],[IType]],IsDList,Table_ExternalData_15[[#Headers],[16]])</f>
        <v>0</v>
      </c>
      <c r="U6" s="10">
        <f>SUMIFS(IsQList,IsIList,Table_ExternalData_15[[#This Row],[item_key]],IsITypeList,Table_ExternalData_15[[#This Row],[IType]],IsDList,Table_ExternalData_15[[#Headers],[17]])</f>
        <v>0</v>
      </c>
      <c r="V6" s="10">
        <f>SUMIFS(IsQList,IsIList,Table_ExternalData_15[[#This Row],[item_key]],IsITypeList,Table_ExternalData_15[[#This Row],[IType]],IsDList,Table_ExternalData_15[[#Headers],[18]])</f>
        <v>0</v>
      </c>
      <c r="W6" s="10">
        <f>SUMIFS(IsQList,IsIList,Table_ExternalData_15[[#This Row],[item_key]],IsITypeList,Table_ExternalData_15[[#This Row],[IType]],IsDList,Table_ExternalData_15[[#Headers],[19]])</f>
        <v>0</v>
      </c>
      <c r="X6" s="10">
        <f>SUMIFS(IsQList,IsIList,Table_ExternalData_15[[#This Row],[item_key]],IsITypeList,Table_ExternalData_15[[#This Row],[IType]],IsDList,Table_ExternalData_15[[#Headers],[20]])</f>
        <v>0</v>
      </c>
      <c r="Y6" s="10">
        <f>SUMIFS(IsQList,IsIList,Table_ExternalData_15[[#This Row],[item_key]],IsITypeList,Table_ExternalData_15[[#This Row],[IType]],IsDList,Table_ExternalData_15[[#Headers],[21]])</f>
        <v>0</v>
      </c>
      <c r="Z6" s="10">
        <f>SUMIFS(IsQList,IsIList,Table_ExternalData_15[[#This Row],[item_key]],IsITypeList,Table_ExternalData_15[[#This Row],[IType]],IsDList,Table_ExternalData_15[[#Headers],[22]])</f>
        <v>0</v>
      </c>
      <c r="AA6" s="10">
        <f>SUMIFS(IsQList,IsIList,Table_ExternalData_15[[#This Row],[item_key]],IsITypeList,Table_ExternalData_15[[#This Row],[IType]],IsDList,Table_ExternalData_15[[#Headers],[23]])</f>
        <v>0</v>
      </c>
      <c r="AB6" s="10">
        <f>SUMIFS(IsQList,IsIList,Table_ExternalData_15[[#This Row],[item_key]],IsITypeList,Table_ExternalData_15[[#This Row],[IType]],IsDList,Table_ExternalData_15[[#Headers],[24]])</f>
        <v>0</v>
      </c>
      <c r="AC6" s="10">
        <f>SUMIFS(IsQList,IsIList,Table_ExternalData_15[[#This Row],[item_key]],IsITypeList,Table_ExternalData_15[[#This Row],[IType]],IsDList,Table_ExternalData_15[[#Headers],[25]])</f>
        <v>0</v>
      </c>
      <c r="AD6" s="10">
        <f>SUMIFS(IsQList,IsIList,Table_ExternalData_15[[#This Row],[item_key]],IsITypeList,Table_ExternalData_15[[#This Row],[IType]],IsDList,Table_ExternalData_15[[#Headers],[26]])</f>
        <v>0</v>
      </c>
      <c r="AE6" s="10">
        <f>SUMIFS(IsQList,IsIList,Table_ExternalData_15[[#This Row],[item_key]],IsITypeList,Table_ExternalData_15[[#This Row],[IType]],IsDList,Table_ExternalData_15[[#Headers],[27]])</f>
        <v>0</v>
      </c>
      <c r="AF6" s="10">
        <f>SUMIFS(IsQList,IsIList,Table_ExternalData_15[[#This Row],[item_key]],IsITypeList,Table_ExternalData_15[[#This Row],[IType]],IsDList,Table_ExternalData_15[[#Headers],[28]])</f>
        <v>8</v>
      </c>
      <c r="AG6" s="10">
        <f>SUMIFS(IsQList,IsIList,Table_ExternalData_15[[#This Row],[item_key]],IsITypeList,Table_ExternalData_15[[#This Row],[IType]],IsDList,Table_ExternalData_15[[#Headers],[29]])</f>
        <v>608</v>
      </c>
      <c r="AH6" s="10">
        <f>SUMIFS(IsQList,IsIList,Table_ExternalData_15[[#This Row],[item_key]],IsITypeList,Table_ExternalData_15[[#This Row],[IType]],IsDList,Table_ExternalData_15[[#Headers],[30]])</f>
        <v>0</v>
      </c>
      <c r="AI6" s="10">
        <f>SUMIFS(IsQList,IsIList,Table_ExternalData_15[[#This Row],[item_key]],IsITypeList,Table_ExternalData_15[[#This Row],[IType]],IsDList,Table_ExternalData_15[[#Headers],[31]])</f>
        <v>80</v>
      </c>
      <c r="AJ6" s="10">
        <f>SUM(Table_ExternalData_15[[#This Row],[1]:[31]])</f>
        <v>1448</v>
      </c>
    </row>
    <row r="7" spans="1:36">
      <c r="A7" s="39" t="s">
        <v>9</v>
      </c>
      <c r="B7" s="39" t="s">
        <v>18</v>
      </c>
      <c r="C7" s="39" t="s">
        <v>19</v>
      </c>
      <c r="D7" s="40" t="s">
        <v>80</v>
      </c>
      <c r="E7" s="41">
        <f>SUMIFS(IsQList,IsIList,Table_ExternalData_15[[#This Row],[item_key]],IsITypeList,Table_ExternalData_15[[#This Row],[IType]],IsDList,Table_ExternalData_15[[#Headers],[1]])</f>
        <v>85</v>
      </c>
      <c r="F7" s="41">
        <f>SUMIFS(IsQList,IsIList,Table_ExternalData_15[[#This Row],[item_key]],IsITypeList,Table_ExternalData_15[[#This Row],[IType]],IsDList,Table_ExternalData_15[[#Headers],[2]])</f>
        <v>188</v>
      </c>
      <c r="G7" s="41">
        <f>SUMIFS(IsQList,IsIList,Table_ExternalData_15[[#This Row],[item_key]],IsITypeList,Table_ExternalData_15[[#This Row],[IType]],IsDList,Table_ExternalData_15[[#Headers],[3]])</f>
        <v>85</v>
      </c>
      <c r="H7" s="41">
        <f>SUMIFS(IsQList,IsIList,Table_ExternalData_15[[#This Row],[item_key]],IsITypeList,Table_ExternalData_15[[#This Row],[IType]],IsDList,Table_ExternalData_15[[#Headers],[4]])</f>
        <v>250</v>
      </c>
      <c r="I7" s="41">
        <f>SUMIFS(IsQList,IsIList,Table_ExternalData_15[[#This Row],[item_key]],IsITypeList,Table_ExternalData_15[[#This Row],[IType]],IsDList,Table_ExternalData_15[[#Headers],[5]])</f>
        <v>100</v>
      </c>
      <c r="J7" s="41">
        <f>SUMIFS(IsQList,IsIList,Table_ExternalData_15[[#This Row],[item_key]],IsITypeList,Table_ExternalData_15[[#This Row],[IType]],IsDList,Table_ExternalData_15[[#Headers],[6]])</f>
        <v>237</v>
      </c>
      <c r="K7" s="41">
        <f>SUMIFS(IsQList,IsIList,Table_ExternalData_15[[#This Row],[item_key]],IsITypeList,Table_ExternalData_15[[#This Row],[IType]],IsDList,Table_ExternalData_15[[#Headers],[7]])</f>
        <v>209</v>
      </c>
      <c r="L7" s="41">
        <f>SUMIFS(IsQList,IsIList,Table_ExternalData_15[[#This Row],[item_key]],IsITypeList,Table_ExternalData_15[[#This Row],[IType]],IsDList,Table_ExternalData_15[[#Headers],[8]])</f>
        <v>139</v>
      </c>
      <c r="M7" s="41">
        <f>SUMIFS(IsQList,IsIList,Table_ExternalData_15[[#This Row],[item_key]],IsITypeList,Table_ExternalData_15[[#This Row],[IType]],IsDList,Table_ExternalData_15[[#Headers],[9]])</f>
        <v>317</v>
      </c>
      <c r="N7" s="41">
        <f>SUMIFS(IsQList,IsIList,Table_ExternalData_15[[#This Row],[item_key]],IsITypeList,Table_ExternalData_15[[#This Row],[IType]],IsDList,Table_ExternalData_15[[#Headers],[10]])</f>
        <v>207</v>
      </c>
      <c r="O7" s="41">
        <f>SUMIFS(IsQList,IsIList,Table_ExternalData_15[[#This Row],[item_key]],IsITypeList,Table_ExternalData_15[[#This Row],[IType]],IsDList,Table_ExternalData_15[[#Headers],[11]])</f>
        <v>150</v>
      </c>
      <c r="P7" s="41">
        <f>SUMIFS(IsQList,IsIList,Table_ExternalData_15[[#This Row],[item_key]],IsITypeList,Table_ExternalData_15[[#This Row],[IType]],IsDList,Table_ExternalData_15[[#Headers],[12]])</f>
        <v>0</v>
      </c>
      <c r="Q7" s="41">
        <f>SUMIFS(IsQList,IsIList,Table_ExternalData_15[[#This Row],[item_key]],IsITypeList,Table_ExternalData_15[[#This Row],[IType]],IsDList,Table_ExternalData_15[[#Headers],[13]])</f>
        <v>184</v>
      </c>
      <c r="R7" s="41">
        <f>SUMIFS(IsQList,IsIList,Table_ExternalData_15[[#This Row],[item_key]],IsITypeList,Table_ExternalData_15[[#This Row],[IType]],IsDList,Table_ExternalData_15[[#Headers],[14]])</f>
        <v>312</v>
      </c>
      <c r="S7" s="41">
        <f>SUMIFS(IsQList,IsIList,Table_ExternalData_15[[#This Row],[item_key]],IsITypeList,Table_ExternalData_15[[#This Row],[IType]],IsDList,Table_ExternalData_15[[#Headers],[15]])</f>
        <v>186</v>
      </c>
      <c r="T7" s="41">
        <f>SUMIFS(IsQList,IsIList,Table_ExternalData_15[[#This Row],[item_key]],IsITypeList,Table_ExternalData_15[[#This Row],[IType]],IsDList,Table_ExternalData_15[[#Headers],[16]])</f>
        <v>164</v>
      </c>
      <c r="U7" s="41">
        <f>SUMIFS(IsQList,IsIList,Table_ExternalData_15[[#This Row],[item_key]],IsITypeList,Table_ExternalData_15[[#This Row],[IType]],IsDList,Table_ExternalData_15[[#Headers],[17]])</f>
        <v>85</v>
      </c>
      <c r="V7" s="41">
        <f>SUMIFS(IsQList,IsIList,Table_ExternalData_15[[#This Row],[item_key]],IsITypeList,Table_ExternalData_15[[#This Row],[IType]],IsDList,Table_ExternalData_15[[#Headers],[18]])</f>
        <v>0</v>
      </c>
      <c r="W7" s="41">
        <f>SUMIFS(IsQList,IsIList,Table_ExternalData_15[[#This Row],[item_key]],IsITypeList,Table_ExternalData_15[[#This Row],[IType]],IsDList,Table_ExternalData_15[[#Headers],[19]])</f>
        <v>0</v>
      </c>
      <c r="X7" s="41">
        <f>SUMIFS(IsQList,IsIList,Table_ExternalData_15[[#This Row],[item_key]],IsITypeList,Table_ExternalData_15[[#This Row],[IType]],IsDList,Table_ExternalData_15[[#Headers],[20]])</f>
        <v>0</v>
      </c>
      <c r="Y7" s="41">
        <f>SUMIFS(IsQList,IsIList,Table_ExternalData_15[[#This Row],[item_key]],IsITypeList,Table_ExternalData_15[[#This Row],[IType]],IsDList,Table_ExternalData_15[[#Headers],[21]])</f>
        <v>0</v>
      </c>
      <c r="Z7" s="41">
        <f>SUMIFS(IsQList,IsIList,Table_ExternalData_15[[#This Row],[item_key]],IsITypeList,Table_ExternalData_15[[#This Row],[IType]],IsDList,Table_ExternalData_15[[#Headers],[22]])</f>
        <v>0</v>
      </c>
      <c r="AA7" s="41">
        <f>SUMIFS(IsQList,IsIList,Table_ExternalData_15[[#This Row],[item_key]],IsITypeList,Table_ExternalData_15[[#This Row],[IType]],IsDList,Table_ExternalData_15[[#Headers],[23]])</f>
        <v>0</v>
      </c>
      <c r="AB7" s="41">
        <f>SUMIFS(IsQList,IsIList,Table_ExternalData_15[[#This Row],[item_key]],IsITypeList,Table_ExternalData_15[[#This Row],[IType]],IsDList,Table_ExternalData_15[[#Headers],[24]])</f>
        <v>0</v>
      </c>
      <c r="AC7" s="41">
        <f>SUMIFS(IsQList,IsIList,Table_ExternalData_15[[#This Row],[item_key]],IsITypeList,Table_ExternalData_15[[#This Row],[IType]],IsDList,Table_ExternalData_15[[#Headers],[25]])</f>
        <v>0</v>
      </c>
      <c r="AD7" s="41">
        <f>SUMIFS(IsQList,IsIList,Table_ExternalData_15[[#This Row],[item_key]],IsITypeList,Table_ExternalData_15[[#This Row],[IType]],IsDList,Table_ExternalData_15[[#Headers],[26]])</f>
        <v>0</v>
      </c>
      <c r="AE7" s="41">
        <f>SUMIFS(IsQList,IsIList,Table_ExternalData_15[[#This Row],[item_key]],IsITypeList,Table_ExternalData_15[[#This Row],[IType]],IsDList,Table_ExternalData_15[[#Headers],[27]])</f>
        <v>334</v>
      </c>
      <c r="AF7" s="41">
        <f>SUMIFS(IsQList,IsIList,Table_ExternalData_15[[#This Row],[item_key]],IsITypeList,Table_ExternalData_15[[#This Row],[IType]],IsDList,Table_ExternalData_15[[#Headers],[28]])</f>
        <v>382</v>
      </c>
      <c r="AG7" s="41">
        <f>SUMIFS(IsQList,IsIList,Table_ExternalData_15[[#This Row],[item_key]],IsITypeList,Table_ExternalData_15[[#This Row],[IType]],IsDList,Table_ExternalData_15[[#Headers],[29]])</f>
        <v>364</v>
      </c>
      <c r="AH7" s="41">
        <f>SUMIFS(IsQList,IsIList,Table_ExternalData_15[[#This Row],[item_key]],IsITypeList,Table_ExternalData_15[[#This Row],[IType]],IsDList,Table_ExternalData_15[[#Headers],[30]])</f>
        <v>230</v>
      </c>
      <c r="AI7" s="41">
        <f>SUMIFS(IsQList,IsIList,Table_ExternalData_15[[#This Row],[item_key]],IsITypeList,Table_ExternalData_15[[#This Row],[IType]],IsDList,Table_ExternalData_15[[#Headers],[31]])</f>
        <v>727</v>
      </c>
      <c r="AJ7" s="41">
        <f>SUM(Table_ExternalData_15[[#This Row],[1]:[31]])</f>
        <v>4935</v>
      </c>
    </row>
    <row r="8" spans="1:36">
      <c r="A8" s="39" t="s">
        <v>9</v>
      </c>
      <c r="B8" s="39" t="s">
        <v>18</v>
      </c>
      <c r="C8" s="39" t="s">
        <v>19</v>
      </c>
      <c r="D8" s="40" t="s">
        <v>79</v>
      </c>
      <c r="E8" s="41">
        <f>SUMIFS(IsQList,IsIList,Table_ExternalData_15[[#This Row],[item_key]],IsITypeList,Table_ExternalData_15[[#This Row],[IType]],IsDList,Table_ExternalData_15[[#Headers],[1]])</f>
        <v>0</v>
      </c>
      <c r="F8" s="41">
        <f>SUMIFS(IsQList,IsIList,Table_ExternalData_15[[#This Row],[item_key]],IsITypeList,Table_ExternalData_15[[#This Row],[IType]],IsDList,Table_ExternalData_15[[#Headers],[2]])</f>
        <v>0</v>
      </c>
      <c r="G8" s="41">
        <f>SUMIFS(IsQList,IsIList,Table_ExternalData_15[[#This Row],[item_key]],IsITypeList,Table_ExternalData_15[[#This Row],[IType]],IsDList,Table_ExternalData_15[[#Headers],[3]])</f>
        <v>0</v>
      </c>
      <c r="H8" s="41">
        <f>SUMIFS(IsQList,IsIList,Table_ExternalData_15[[#This Row],[item_key]],IsITypeList,Table_ExternalData_15[[#This Row],[IType]],IsDList,Table_ExternalData_15[[#Headers],[4]])</f>
        <v>0</v>
      </c>
      <c r="I8" s="41">
        <f>SUMIFS(IsQList,IsIList,Table_ExternalData_15[[#This Row],[item_key]],IsITypeList,Table_ExternalData_15[[#This Row],[IType]],IsDList,Table_ExternalData_15[[#Headers],[5]])</f>
        <v>0</v>
      </c>
      <c r="J8" s="41">
        <f>SUMIFS(IsQList,IsIList,Table_ExternalData_15[[#This Row],[item_key]],IsITypeList,Table_ExternalData_15[[#This Row],[IType]],IsDList,Table_ExternalData_15[[#Headers],[6]])</f>
        <v>0</v>
      </c>
      <c r="K8" s="41">
        <f>SUMIFS(IsQList,IsIList,Table_ExternalData_15[[#This Row],[item_key]],IsITypeList,Table_ExternalData_15[[#This Row],[IType]],IsDList,Table_ExternalData_15[[#Headers],[7]])</f>
        <v>0</v>
      </c>
      <c r="L8" s="41">
        <f>SUMIFS(IsQList,IsIList,Table_ExternalData_15[[#This Row],[item_key]],IsITypeList,Table_ExternalData_15[[#This Row],[IType]],IsDList,Table_ExternalData_15[[#Headers],[8]])</f>
        <v>0</v>
      </c>
      <c r="M8" s="41">
        <f>SUMIFS(IsQList,IsIList,Table_ExternalData_15[[#This Row],[item_key]],IsITypeList,Table_ExternalData_15[[#This Row],[IType]],IsDList,Table_ExternalData_15[[#Headers],[9]])</f>
        <v>2</v>
      </c>
      <c r="N8" s="41">
        <f>SUMIFS(IsQList,IsIList,Table_ExternalData_15[[#This Row],[item_key]],IsITypeList,Table_ExternalData_15[[#This Row],[IType]],IsDList,Table_ExternalData_15[[#Headers],[10]])</f>
        <v>0</v>
      </c>
      <c r="O8" s="41">
        <f>SUMIFS(IsQList,IsIList,Table_ExternalData_15[[#This Row],[item_key]],IsITypeList,Table_ExternalData_15[[#This Row],[IType]],IsDList,Table_ExternalData_15[[#Headers],[11]])</f>
        <v>0</v>
      </c>
      <c r="P8" s="41">
        <f>SUMIFS(IsQList,IsIList,Table_ExternalData_15[[#This Row],[item_key]],IsITypeList,Table_ExternalData_15[[#This Row],[IType]],IsDList,Table_ExternalData_15[[#Headers],[12]])</f>
        <v>0</v>
      </c>
      <c r="Q8" s="41">
        <f>SUMIFS(IsQList,IsIList,Table_ExternalData_15[[#This Row],[item_key]],IsITypeList,Table_ExternalData_15[[#This Row],[IType]],IsDList,Table_ExternalData_15[[#Headers],[13]])</f>
        <v>0</v>
      </c>
      <c r="R8" s="41">
        <f>SUMIFS(IsQList,IsIList,Table_ExternalData_15[[#This Row],[item_key]],IsITypeList,Table_ExternalData_15[[#This Row],[IType]],IsDList,Table_ExternalData_15[[#Headers],[14]])</f>
        <v>0</v>
      </c>
      <c r="S8" s="41">
        <f>SUMIFS(IsQList,IsIList,Table_ExternalData_15[[#This Row],[item_key]],IsITypeList,Table_ExternalData_15[[#This Row],[IType]],IsDList,Table_ExternalData_15[[#Headers],[15]])</f>
        <v>0</v>
      </c>
      <c r="T8" s="41">
        <f>SUMIFS(IsQList,IsIList,Table_ExternalData_15[[#This Row],[item_key]],IsITypeList,Table_ExternalData_15[[#This Row],[IType]],IsDList,Table_ExternalData_15[[#Headers],[16]])</f>
        <v>0</v>
      </c>
      <c r="U8" s="41">
        <f>SUMIFS(IsQList,IsIList,Table_ExternalData_15[[#This Row],[item_key]],IsITypeList,Table_ExternalData_15[[#This Row],[IType]],IsDList,Table_ExternalData_15[[#Headers],[17]])</f>
        <v>0</v>
      </c>
      <c r="V8" s="41">
        <f>SUMIFS(IsQList,IsIList,Table_ExternalData_15[[#This Row],[item_key]],IsITypeList,Table_ExternalData_15[[#This Row],[IType]],IsDList,Table_ExternalData_15[[#Headers],[18]])</f>
        <v>0</v>
      </c>
      <c r="W8" s="41">
        <f>SUMIFS(IsQList,IsIList,Table_ExternalData_15[[#This Row],[item_key]],IsITypeList,Table_ExternalData_15[[#This Row],[IType]],IsDList,Table_ExternalData_15[[#Headers],[19]])</f>
        <v>0</v>
      </c>
      <c r="X8" s="41">
        <f>SUMIFS(IsQList,IsIList,Table_ExternalData_15[[#This Row],[item_key]],IsITypeList,Table_ExternalData_15[[#This Row],[IType]],IsDList,Table_ExternalData_15[[#Headers],[20]])</f>
        <v>0</v>
      </c>
      <c r="Y8" s="41">
        <f>SUMIFS(IsQList,IsIList,Table_ExternalData_15[[#This Row],[item_key]],IsITypeList,Table_ExternalData_15[[#This Row],[IType]],IsDList,Table_ExternalData_15[[#Headers],[21]])</f>
        <v>0</v>
      </c>
      <c r="Z8" s="41">
        <f>SUMIFS(IsQList,IsIList,Table_ExternalData_15[[#This Row],[item_key]],IsITypeList,Table_ExternalData_15[[#This Row],[IType]],IsDList,Table_ExternalData_15[[#Headers],[22]])</f>
        <v>0</v>
      </c>
      <c r="AA8" s="41">
        <f>SUMIFS(IsQList,IsIList,Table_ExternalData_15[[#This Row],[item_key]],IsITypeList,Table_ExternalData_15[[#This Row],[IType]],IsDList,Table_ExternalData_15[[#Headers],[23]])</f>
        <v>0</v>
      </c>
      <c r="AB8" s="41">
        <f>SUMIFS(IsQList,IsIList,Table_ExternalData_15[[#This Row],[item_key]],IsITypeList,Table_ExternalData_15[[#This Row],[IType]],IsDList,Table_ExternalData_15[[#Headers],[24]])</f>
        <v>0</v>
      </c>
      <c r="AC8" s="41">
        <f>SUMIFS(IsQList,IsIList,Table_ExternalData_15[[#This Row],[item_key]],IsITypeList,Table_ExternalData_15[[#This Row],[IType]],IsDList,Table_ExternalData_15[[#Headers],[25]])</f>
        <v>0</v>
      </c>
      <c r="AD8" s="41">
        <f>SUMIFS(IsQList,IsIList,Table_ExternalData_15[[#This Row],[item_key]],IsITypeList,Table_ExternalData_15[[#This Row],[IType]],IsDList,Table_ExternalData_15[[#Headers],[26]])</f>
        <v>0</v>
      </c>
      <c r="AE8" s="41">
        <f>SUMIFS(IsQList,IsIList,Table_ExternalData_15[[#This Row],[item_key]],IsITypeList,Table_ExternalData_15[[#This Row],[IType]],IsDList,Table_ExternalData_15[[#Headers],[27]])</f>
        <v>0</v>
      </c>
      <c r="AF8" s="41">
        <f>SUMIFS(IsQList,IsIList,Table_ExternalData_15[[#This Row],[item_key]],IsITypeList,Table_ExternalData_15[[#This Row],[IType]],IsDList,Table_ExternalData_15[[#Headers],[28]])</f>
        <v>0</v>
      </c>
      <c r="AG8" s="41">
        <f>SUMIFS(IsQList,IsIList,Table_ExternalData_15[[#This Row],[item_key]],IsITypeList,Table_ExternalData_15[[#This Row],[IType]],IsDList,Table_ExternalData_15[[#Headers],[29]])</f>
        <v>0</v>
      </c>
      <c r="AH8" s="41">
        <f>SUMIFS(IsQList,IsIList,Table_ExternalData_15[[#This Row],[item_key]],IsITypeList,Table_ExternalData_15[[#This Row],[IType]],IsDList,Table_ExternalData_15[[#Headers],[30]])</f>
        <v>0</v>
      </c>
      <c r="AI8" s="41">
        <f>SUMIFS(IsQList,IsIList,Table_ExternalData_15[[#This Row],[item_key]],IsITypeList,Table_ExternalData_15[[#This Row],[IType]],IsDList,Table_ExternalData_15[[#Headers],[31]])</f>
        <v>0</v>
      </c>
      <c r="AJ8" s="41">
        <f>SUM(Table_ExternalData_15[[#This Row],[1]:[31]])</f>
        <v>2</v>
      </c>
    </row>
    <row r="9" spans="1:36" hidden="1">
      <c r="A9" s="39" t="s">
        <v>6</v>
      </c>
      <c r="B9" s="39" t="s">
        <v>20</v>
      </c>
      <c r="C9" s="39" t="s">
        <v>21</v>
      </c>
      <c r="D9" s="40" t="s">
        <v>77</v>
      </c>
      <c r="E9" s="41">
        <f>SUMIFS(IsQList,IsIList,Table_ExternalData_15[[#This Row],[item_key]],IsITypeList,Table_ExternalData_15[[#This Row],[IType]],IsDList,Table_ExternalData_15[[#Headers],[1]])</f>
        <v>0</v>
      </c>
      <c r="F9" s="41">
        <f>SUMIFS(IsQList,IsIList,Table_ExternalData_15[[#This Row],[item_key]],IsITypeList,Table_ExternalData_15[[#This Row],[IType]],IsDList,Table_ExternalData_15[[#Headers],[2]])</f>
        <v>0</v>
      </c>
      <c r="G9" s="41">
        <f>SUMIFS(IsQList,IsIList,Table_ExternalData_15[[#This Row],[item_key]],IsITypeList,Table_ExternalData_15[[#This Row],[IType]],IsDList,Table_ExternalData_15[[#Headers],[3]])</f>
        <v>0</v>
      </c>
      <c r="H9" s="41">
        <f>SUMIFS(IsQList,IsIList,Table_ExternalData_15[[#This Row],[item_key]],IsITypeList,Table_ExternalData_15[[#This Row],[IType]],IsDList,Table_ExternalData_15[[#Headers],[4]])</f>
        <v>0</v>
      </c>
      <c r="I9" s="41">
        <f>SUMIFS(IsQList,IsIList,Table_ExternalData_15[[#This Row],[item_key]],IsITypeList,Table_ExternalData_15[[#This Row],[IType]],IsDList,Table_ExternalData_15[[#Headers],[5]])</f>
        <v>0</v>
      </c>
      <c r="J9" s="41">
        <f>SUMIFS(IsQList,IsIList,Table_ExternalData_15[[#This Row],[item_key]],IsITypeList,Table_ExternalData_15[[#This Row],[IType]],IsDList,Table_ExternalData_15[[#Headers],[6]])</f>
        <v>0</v>
      </c>
      <c r="K9" s="41">
        <f>SUMIFS(IsQList,IsIList,Table_ExternalData_15[[#This Row],[item_key]],IsITypeList,Table_ExternalData_15[[#This Row],[IType]],IsDList,Table_ExternalData_15[[#Headers],[7]])</f>
        <v>0</v>
      </c>
      <c r="L9" s="41">
        <f>SUMIFS(IsQList,IsIList,Table_ExternalData_15[[#This Row],[item_key]],IsITypeList,Table_ExternalData_15[[#This Row],[IType]],IsDList,Table_ExternalData_15[[#Headers],[8]])</f>
        <v>0</v>
      </c>
      <c r="M9" s="41">
        <f>SUMIFS(IsQList,IsIList,Table_ExternalData_15[[#This Row],[item_key]],IsITypeList,Table_ExternalData_15[[#This Row],[IType]],IsDList,Table_ExternalData_15[[#Headers],[9]])</f>
        <v>0</v>
      </c>
      <c r="N9" s="41">
        <f>SUMIFS(IsQList,IsIList,Table_ExternalData_15[[#This Row],[item_key]],IsITypeList,Table_ExternalData_15[[#This Row],[IType]],IsDList,Table_ExternalData_15[[#Headers],[10]])</f>
        <v>0</v>
      </c>
      <c r="O9" s="41">
        <f>SUMIFS(IsQList,IsIList,Table_ExternalData_15[[#This Row],[item_key]],IsITypeList,Table_ExternalData_15[[#This Row],[IType]],IsDList,Table_ExternalData_15[[#Headers],[11]])</f>
        <v>0</v>
      </c>
      <c r="P9" s="41">
        <f>SUMIFS(IsQList,IsIList,Table_ExternalData_15[[#This Row],[item_key]],IsITypeList,Table_ExternalData_15[[#This Row],[IType]],IsDList,Table_ExternalData_15[[#Headers],[12]])</f>
        <v>0</v>
      </c>
      <c r="Q9" s="41">
        <f>SUMIFS(IsQList,IsIList,Table_ExternalData_15[[#This Row],[item_key]],IsITypeList,Table_ExternalData_15[[#This Row],[IType]],IsDList,Table_ExternalData_15[[#Headers],[13]])</f>
        <v>0</v>
      </c>
      <c r="R9" s="41">
        <f>SUMIFS(IsQList,IsIList,Table_ExternalData_15[[#This Row],[item_key]],IsITypeList,Table_ExternalData_15[[#This Row],[IType]],IsDList,Table_ExternalData_15[[#Headers],[14]])</f>
        <v>0</v>
      </c>
      <c r="S9" s="41">
        <f>SUMIFS(IsQList,IsIList,Table_ExternalData_15[[#This Row],[item_key]],IsITypeList,Table_ExternalData_15[[#This Row],[IType]],IsDList,Table_ExternalData_15[[#Headers],[15]])</f>
        <v>0</v>
      </c>
      <c r="T9" s="41">
        <f>SUMIFS(IsQList,IsIList,Table_ExternalData_15[[#This Row],[item_key]],IsITypeList,Table_ExternalData_15[[#This Row],[IType]],IsDList,Table_ExternalData_15[[#Headers],[16]])</f>
        <v>0</v>
      </c>
      <c r="U9" s="41">
        <f>SUMIFS(IsQList,IsIList,Table_ExternalData_15[[#This Row],[item_key]],IsITypeList,Table_ExternalData_15[[#This Row],[IType]],IsDList,Table_ExternalData_15[[#Headers],[17]])</f>
        <v>0</v>
      </c>
      <c r="V9" s="41">
        <f>SUMIFS(IsQList,IsIList,Table_ExternalData_15[[#This Row],[item_key]],IsITypeList,Table_ExternalData_15[[#This Row],[IType]],IsDList,Table_ExternalData_15[[#Headers],[18]])</f>
        <v>0</v>
      </c>
      <c r="W9" s="41">
        <f>SUMIFS(IsQList,IsIList,Table_ExternalData_15[[#This Row],[item_key]],IsITypeList,Table_ExternalData_15[[#This Row],[IType]],IsDList,Table_ExternalData_15[[#Headers],[19]])</f>
        <v>0</v>
      </c>
      <c r="X9" s="41">
        <f>SUMIFS(IsQList,IsIList,Table_ExternalData_15[[#This Row],[item_key]],IsITypeList,Table_ExternalData_15[[#This Row],[IType]],IsDList,Table_ExternalData_15[[#Headers],[20]])</f>
        <v>0</v>
      </c>
      <c r="Y9" s="41">
        <f>SUMIFS(IsQList,IsIList,Table_ExternalData_15[[#This Row],[item_key]],IsITypeList,Table_ExternalData_15[[#This Row],[IType]],IsDList,Table_ExternalData_15[[#Headers],[21]])</f>
        <v>0</v>
      </c>
      <c r="Z9" s="41">
        <f>SUMIFS(IsQList,IsIList,Table_ExternalData_15[[#This Row],[item_key]],IsITypeList,Table_ExternalData_15[[#This Row],[IType]],IsDList,Table_ExternalData_15[[#Headers],[22]])</f>
        <v>0</v>
      </c>
      <c r="AA9" s="41">
        <f>SUMIFS(IsQList,IsIList,Table_ExternalData_15[[#This Row],[item_key]],IsITypeList,Table_ExternalData_15[[#This Row],[IType]],IsDList,Table_ExternalData_15[[#Headers],[23]])</f>
        <v>0</v>
      </c>
      <c r="AB9" s="41">
        <f>SUMIFS(IsQList,IsIList,Table_ExternalData_15[[#This Row],[item_key]],IsITypeList,Table_ExternalData_15[[#This Row],[IType]],IsDList,Table_ExternalData_15[[#Headers],[24]])</f>
        <v>0</v>
      </c>
      <c r="AC9" s="41">
        <f>SUMIFS(IsQList,IsIList,Table_ExternalData_15[[#This Row],[item_key]],IsITypeList,Table_ExternalData_15[[#This Row],[IType]],IsDList,Table_ExternalData_15[[#Headers],[25]])</f>
        <v>0</v>
      </c>
      <c r="AD9" s="41">
        <f>SUMIFS(IsQList,IsIList,Table_ExternalData_15[[#This Row],[item_key]],IsITypeList,Table_ExternalData_15[[#This Row],[IType]],IsDList,Table_ExternalData_15[[#Headers],[26]])</f>
        <v>0</v>
      </c>
      <c r="AE9" s="41">
        <f>SUMIFS(IsQList,IsIList,Table_ExternalData_15[[#This Row],[item_key]],IsITypeList,Table_ExternalData_15[[#This Row],[IType]],IsDList,Table_ExternalData_15[[#Headers],[27]])</f>
        <v>0</v>
      </c>
      <c r="AF9" s="41">
        <f>SUMIFS(IsQList,IsIList,Table_ExternalData_15[[#This Row],[item_key]],IsITypeList,Table_ExternalData_15[[#This Row],[IType]],IsDList,Table_ExternalData_15[[#Headers],[28]])</f>
        <v>0</v>
      </c>
      <c r="AG9" s="41">
        <f>SUMIFS(IsQList,IsIList,Table_ExternalData_15[[#This Row],[item_key]],IsITypeList,Table_ExternalData_15[[#This Row],[IType]],IsDList,Table_ExternalData_15[[#Headers],[29]])</f>
        <v>0</v>
      </c>
      <c r="AH9" s="41">
        <f>SUMIFS(IsQList,IsIList,Table_ExternalData_15[[#This Row],[item_key]],IsITypeList,Table_ExternalData_15[[#This Row],[IType]],IsDList,Table_ExternalData_15[[#Headers],[30]])</f>
        <v>0</v>
      </c>
      <c r="AI9" s="41">
        <f>SUMIFS(IsQList,IsIList,Table_ExternalData_15[[#This Row],[item_key]],IsITypeList,Table_ExternalData_15[[#This Row],[IType]],IsDList,Table_ExternalData_15[[#Headers],[31]])</f>
        <v>0</v>
      </c>
      <c r="AJ9" s="41">
        <f>SUM(Table_ExternalData_15[[#This Row],[1]:[31]])</f>
        <v>0</v>
      </c>
    </row>
    <row r="10" spans="1:36" hidden="1">
      <c r="A10" s="39" t="s">
        <v>6</v>
      </c>
      <c r="B10" s="39" t="s">
        <v>20</v>
      </c>
      <c r="C10" s="39" t="s">
        <v>21</v>
      </c>
      <c r="D10" s="40" t="s">
        <v>80</v>
      </c>
      <c r="E10" s="41">
        <f>SUMIFS(IsQList,IsIList,Table_ExternalData_15[[#This Row],[item_key]],IsITypeList,Table_ExternalData_15[[#This Row],[IType]],IsDList,Table_ExternalData_15[[#Headers],[1]])</f>
        <v>85</v>
      </c>
      <c r="F10" s="41">
        <f>SUMIFS(IsQList,IsIList,Table_ExternalData_15[[#This Row],[item_key]],IsITypeList,Table_ExternalData_15[[#This Row],[IType]],IsDList,Table_ExternalData_15[[#Headers],[2]])</f>
        <v>136</v>
      </c>
      <c r="G10" s="41">
        <f>SUMIFS(IsQList,IsIList,Table_ExternalData_15[[#This Row],[item_key]],IsITypeList,Table_ExternalData_15[[#This Row],[IType]],IsDList,Table_ExternalData_15[[#Headers],[3]])</f>
        <v>35</v>
      </c>
      <c r="H10" s="41">
        <f>SUMIFS(IsQList,IsIList,Table_ExternalData_15[[#This Row],[item_key]],IsITypeList,Table_ExternalData_15[[#This Row],[IType]],IsDList,Table_ExternalData_15[[#Headers],[4]])</f>
        <v>200</v>
      </c>
      <c r="I10" s="41">
        <f>SUMIFS(IsQList,IsIList,Table_ExternalData_15[[#This Row],[item_key]],IsITypeList,Table_ExternalData_15[[#This Row],[IType]],IsDList,Table_ExternalData_15[[#Headers],[5]])</f>
        <v>56</v>
      </c>
      <c r="J10" s="41">
        <f>SUMIFS(IsQList,IsIList,Table_ExternalData_15[[#This Row],[item_key]],IsITypeList,Table_ExternalData_15[[#This Row],[IType]],IsDList,Table_ExternalData_15[[#Headers],[6]])</f>
        <v>237</v>
      </c>
      <c r="K10" s="41">
        <f>SUMIFS(IsQList,IsIList,Table_ExternalData_15[[#This Row],[item_key]],IsITypeList,Table_ExternalData_15[[#This Row],[IType]],IsDList,Table_ExternalData_15[[#Headers],[7]])</f>
        <v>205</v>
      </c>
      <c r="L10" s="41">
        <f>SUMIFS(IsQList,IsIList,Table_ExternalData_15[[#This Row],[item_key]],IsITypeList,Table_ExternalData_15[[#This Row],[IType]],IsDList,Table_ExternalData_15[[#Headers],[8]])</f>
        <v>139</v>
      </c>
      <c r="M10" s="41">
        <f>SUMIFS(IsQList,IsIList,Table_ExternalData_15[[#This Row],[item_key]],IsITypeList,Table_ExternalData_15[[#This Row],[IType]],IsDList,Table_ExternalData_15[[#Headers],[9]])</f>
        <v>307</v>
      </c>
      <c r="N10" s="41">
        <f>SUMIFS(IsQList,IsIList,Table_ExternalData_15[[#This Row],[item_key]],IsITypeList,Table_ExternalData_15[[#This Row],[IType]],IsDList,Table_ExternalData_15[[#Headers],[10]])</f>
        <v>205</v>
      </c>
      <c r="O10" s="41">
        <f>SUMIFS(IsQList,IsIList,Table_ExternalData_15[[#This Row],[item_key]],IsITypeList,Table_ExternalData_15[[#This Row],[IType]],IsDList,Table_ExternalData_15[[#Headers],[11]])</f>
        <v>150</v>
      </c>
      <c r="P10" s="41">
        <f>SUMIFS(IsQList,IsIList,Table_ExternalData_15[[#This Row],[item_key]],IsITypeList,Table_ExternalData_15[[#This Row],[IType]],IsDList,Table_ExternalData_15[[#Headers],[12]])</f>
        <v>0</v>
      </c>
      <c r="Q10" s="41">
        <f>SUMIFS(IsQList,IsIList,Table_ExternalData_15[[#This Row],[item_key]],IsITypeList,Table_ExternalData_15[[#This Row],[IType]],IsDList,Table_ExternalData_15[[#Headers],[13]])</f>
        <v>184</v>
      </c>
      <c r="R10" s="41">
        <f>SUMIFS(IsQList,IsIList,Table_ExternalData_15[[#This Row],[item_key]],IsITypeList,Table_ExternalData_15[[#This Row],[IType]],IsDList,Table_ExternalData_15[[#Headers],[14]])</f>
        <v>312</v>
      </c>
      <c r="S10" s="41">
        <f>SUMIFS(IsQList,IsIList,Table_ExternalData_15[[#This Row],[item_key]],IsITypeList,Table_ExternalData_15[[#This Row],[IType]],IsDList,Table_ExternalData_15[[#Headers],[15]])</f>
        <v>186</v>
      </c>
      <c r="T10" s="41">
        <f>SUMIFS(IsQList,IsIList,Table_ExternalData_15[[#This Row],[item_key]],IsITypeList,Table_ExternalData_15[[#This Row],[IType]],IsDList,Table_ExternalData_15[[#Headers],[16]])</f>
        <v>125</v>
      </c>
      <c r="U10" s="41">
        <f>SUMIFS(IsQList,IsIList,Table_ExternalData_15[[#This Row],[item_key]],IsITypeList,Table_ExternalData_15[[#This Row],[IType]],IsDList,Table_ExternalData_15[[#Headers],[17]])</f>
        <v>40</v>
      </c>
      <c r="V10" s="41">
        <f>SUMIFS(IsQList,IsIList,Table_ExternalData_15[[#This Row],[item_key]],IsITypeList,Table_ExternalData_15[[#This Row],[IType]],IsDList,Table_ExternalData_15[[#Headers],[18]])</f>
        <v>0</v>
      </c>
      <c r="W10" s="41">
        <f>SUMIFS(IsQList,IsIList,Table_ExternalData_15[[#This Row],[item_key]],IsITypeList,Table_ExternalData_15[[#This Row],[IType]],IsDList,Table_ExternalData_15[[#Headers],[19]])</f>
        <v>0</v>
      </c>
      <c r="X10" s="41">
        <f>SUMIFS(IsQList,IsIList,Table_ExternalData_15[[#This Row],[item_key]],IsITypeList,Table_ExternalData_15[[#This Row],[IType]],IsDList,Table_ExternalData_15[[#Headers],[20]])</f>
        <v>0</v>
      </c>
      <c r="Y10" s="41">
        <f>SUMIFS(IsQList,IsIList,Table_ExternalData_15[[#This Row],[item_key]],IsITypeList,Table_ExternalData_15[[#This Row],[IType]],IsDList,Table_ExternalData_15[[#Headers],[21]])</f>
        <v>0</v>
      </c>
      <c r="Z10" s="41">
        <f>SUMIFS(IsQList,IsIList,Table_ExternalData_15[[#This Row],[item_key]],IsITypeList,Table_ExternalData_15[[#This Row],[IType]],IsDList,Table_ExternalData_15[[#Headers],[22]])</f>
        <v>0</v>
      </c>
      <c r="AA10" s="41">
        <f>SUMIFS(IsQList,IsIList,Table_ExternalData_15[[#This Row],[item_key]],IsITypeList,Table_ExternalData_15[[#This Row],[IType]],IsDList,Table_ExternalData_15[[#Headers],[23]])</f>
        <v>0</v>
      </c>
      <c r="AB10" s="41">
        <f>SUMIFS(IsQList,IsIList,Table_ExternalData_15[[#This Row],[item_key]],IsITypeList,Table_ExternalData_15[[#This Row],[IType]],IsDList,Table_ExternalData_15[[#Headers],[24]])</f>
        <v>0</v>
      </c>
      <c r="AC10" s="41">
        <f>SUMIFS(IsQList,IsIList,Table_ExternalData_15[[#This Row],[item_key]],IsITypeList,Table_ExternalData_15[[#This Row],[IType]],IsDList,Table_ExternalData_15[[#Headers],[25]])</f>
        <v>0</v>
      </c>
      <c r="AD10" s="41">
        <f>SUMIFS(IsQList,IsIList,Table_ExternalData_15[[#This Row],[item_key]],IsITypeList,Table_ExternalData_15[[#This Row],[IType]],IsDList,Table_ExternalData_15[[#Headers],[26]])</f>
        <v>0</v>
      </c>
      <c r="AE10" s="41">
        <f>SUMIFS(IsQList,IsIList,Table_ExternalData_15[[#This Row],[item_key]],IsITypeList,Table_ExternalData_15[[#This Row],[IType]],IsDList,Table_ExternalData_15[[#Headers],[27]])</f>
        <v>334</v>
      </c>
      <c r="AF10" s="41">
        <f>SUMIFS(IsQList,IsIList,Table_ExternalData_15[[#This Row],[item_key]],IsITypeList,Table_ExternalData_15[[#This Row],[IType]],IsDList,Table_ExternalData_15[[#Headers],[28]])</f>
        <v>382</v>
      </c>
      <c r="AG10" s="41">
        <f>SUMIFS(IsQList,IsIList,Table_ExternalData_15[[#This Row],[item_key]],IsITypeList,Table_ExternalData_15[[#This Row],[IType]],IsDList,Table_ExternalData_15[[#Headers],[29]])</f>
        <v>304</v>
      </c>
      <c r="AH10" s="41">
        <f>SUMIFS(IsQList,IsIList,Table_ExternalData_15[[#This Row],[item_key]],IsITypeList,Table_ExternalData_15[[#This Row],[IType]],IsDList,Table_ExternalData_15[[#Headers],[30]])</f>
        <v>230</v>
      </c>
      <c r="AI10" s="41">
        <f>SUMIFS(IsQList,IsIList,Table_ExternalData_15[[#This Row],[item_key]],IsITypeList,Table_ExternalData_15[[#This Row],[IType]],IsDList,Table_ExternalData_15[[#Headers],[31]])</f>
        <v>645</v>
      </c>
      <c r="AJ10" s="41">
        <f>SUM(Table_ExternalData_15[[#This Row],[1]:[31]])</f>
        <v>4497</v>
      </c>
    </row>
    <row r="11" spans="1:36" hidden="1">
      <c r="A11" s="39" t="s">
        <v>6</v>
      </c>
      <c r="B11" s="39" t="s">
        <v>20</v>
      </c>
      <c r="C11" s="39" t="s">
        <v>21</v>
      </c>
      <c r="D11" s="40" t="s">
        <v>79</v>
      </c>
      <c r="E11" s="41">
        <f>SUMIFS(IsQList,IsIList,Table_ExternalData_15[[#This Row],[item_key]],IsITypeList,Table_ExternalData_15[[#This Row],[IType]],IsDList,Table_ExternalData_15[[#Headers],[1]])</f>
        <v>0</v>
      </c>
      <c r="F11" s="41">
        <f>SUMIFS(IsQList,IsIList,Table_ExternalData_15[[#This Row],[item_key]],IsITypeList,Table_ExternalData_15[[#This Row],[IType]],IsDList,Table_ExternalData_15[[#Headers],[2]])</f>
        <v>0</v>
      </c>
      <c r="G11" s="41">
        <f>SUMIFS(IsQList,IsIList,Table_ExternalData_15[[#This Row],[item_key]],IsITypeList,Table_ExternalData_15[[#This Row],[IType]],IsDList,Table_ExternalData_15[[#Headers],[3]])</f>
        <v>140</v>
      </c>
      <c r="H11" s="41">
        <f>SUMIFS(IsQList,IsIList,Table_ExternalData_15[[#This Row],[item_key]],IsITypeList,Table_ExternalData_15[[#This Row],[IType]],IsDList,Table_ExternalData_15[[#Headers],[4]])</f>
        <v>0</v>
      </c>
      <c r="I11" s="41">
        <f>SUMIFS(IsQList,IsIList,Table_ExternalData_15[[#This Row],[item_key]],IsITypeList,Table_ExternalData_15[[#This Row],[IType]],IsDList,Table_ExternalData_15[[#Headers],[5]])</f>
        <v>0</v>
      </c>
      <c r="J11" s="41">
        <f>SUMIFS(IsQList,IsIList,Table_ExternalData_15[[#This Row],[item_key]],IsITypeList,Table_ExternalData_15[[#This Row],[IType]],IsDList,Table_ExternalData_15[[#Headers],[6]])</f>
        <v>0</v>
      </c>
      <c r="K11" s="41">
        <f>SUMIFS(IsQList,IsIList,Table_ExternalData_15[[#This Row],[item_key]],IsITypeList,Table_ExternalData_15[[#This Row],[IType]],IsDList,Table_ExternalData_15[[#Headers],[7]])</f>
        <v>67</v>
      </c>
      <c r="L11" s="41">
        <f>SUMIFS(IsQList,IsIList,Table_ExternalData_15[[#This Row],[item_key]],IsITypeList,Table_ExternalData_15[[#This Row],[IType]],IsDList,Table_ExternalData_15[[#Headers],[8]])</f>
        <v>0</v>
      </c>
      <c r="M11" s="41">
        <f>SUMIFS(IsQList,IsIList,Table_ExternalData_15[[#This Row],[item_key]],IsITypeList,Table_ExternalData_15[[#This Row],[IType]],IsDList,Table_ExternalData_15[[#Headers],[9]])</f>
        <v>25</v>
      </c>
      <c r="N11" s="41">
        <f>SUMIFS(IsQList,IsIList,Table_ExternalData_15[[#This Row],[item_key]],IsITypeList,Table_ExternalData_15[[#This Row],[IType]],IsDList,Table_ExternalData_15[[#Headers],[10]])</f>
        <v>0</v>
      </c>
      <c r="O11" s="41">
        <f>SUMIFS(IsQList,IsIList,Table_ExternalData_15[[#This Row],[item_key]],IsITypeList,Table_ExternalData_15[[#This Row],[IType]],IsDList,Table_ExternalData_15[[#Headers],[11]])</f>
        <v>0</v>
      </c>
      <c r="P11" s="41">
        <f>SUMIFS(IsQList,IsIList,Table_ExternalData_15[[#This Row],[item_key]],IsITypeList,Table_ExternalData_15[[#This Row],[IType]],IsDList,Table_ExternalData_15[[#Headers],[12]])</f>
        <v>0</v>
      </c>
      <c r="Q11" s="41">
        <f>SUMIFS(IsQList,IsIList,Table_ExternalData_15[[#This Row],[item_key]],IsITypeList,Table_ExternalData_15[[#This Row],[IType]],IsDList,Table_ExternalData_15[[#Headers],[13]])</f>
        <v>203</v>
      </c>
      <c r="R11" s="41">
        <f>SUMIFS(IsQList,IsIList,Table_ExternalData_15[[#This Row],[item_key]],IsITypeList,Table_ExternalData_15[[#This Row],[IType]],IsDList,Table_ExternalData_15[[#Headers],[14]])</f>
        <v>74</v>
      </c>
      <c r="S11" s="41">
        <f>SUMIFS(IsQList,IsIList,Table_ExternalData_15[[#This Row],[item_key]],IsITypeList,Table_ExternalData_15[[#This Row],[IType]],IsDList,Table_ExternalData_15[[#Headers],[15]])</f>
        <v>56</v>
      </c>
      <c r="T11" s="41">
        <f>SUMIFS(IsQList,IsIList,Table_ExternalData_15[[#This Row],[item_key]],IsITypeList,Table_ExternalData_15[[#This Row],[IType]],IsDList,Table_ExternalData_15[[#Headers],[16]])</f>
        <v>0</v>
      </c>
      <c r="U11" s="41">
        <f>SUMIFS(IsQList,IsIList,Table_ExternalData_15[[#This Row],[item_key]],IsITypeList,Table_ExternalData_15[[#This Row],[IType]],IsDList,Table_ExternalData_15[[#Headers],[17]])</f>
        <v>0</v>
      </c>
      <c r="V11" s="41">
        <f>SUMIFS(IsQList,IsIList,Table_ExternalData_15[[#This Row],[item_key]],IsITypeList,Table_ExternalData_15[[#This Row],[IType]],IsDList,Table_ExternalData_15[[#Headers],[18]])</f>
        <v>0</v>
      </c>
      <c r="W11" s="41">
        <f>SUMIFS(IsQList,IsIList,Table_ExternalData_15[[#This Row],[item_key]],IsITypeList,Table_ExternalData_15[[#This Row],[IType]],IsDList,Table_ExternalData_15[[#Headers],[19]])</f>
        <v>0</v>
      </c>
      <c r="X11" s="41">
        <f>SUMIFS(IsQList,IsIList,Table_ExternalData_15[[#This Row],[item_key]],IsITypeList,Table_ExternalData_15[[#This Row],[IType]],IsDList,Table_ExternalData_15[[#Headers],[20]])</f>
        <v>0</v>
      </c>
      <c r="Y11" s="41">
        <f>SUMIFS(IsQList,IsIList,Table_ExternalData_15[[#This Row],[item_key]],IsITypeList,Table_ExternalData_15[[#This Row],[IType]],IsDList,Table_ExternalData_15[[#Headers],[21]])</f>
        <v>0</v>
      </c>
      <c r="Z11" s="41">
        <f>SUMIFS(IsQList,IsIList,Table_ExternalData_15[[#This Row],[item_key]],IsITypeList,Table_ExternalData_15[[#This Row],[IType]],IsDList,Table_ExternalData_15[[#Headers],[22]])</f>
        <v>0</v>
      </c>
      <c r="AA11" s="41">
        <f>SUMIFS(IsQList,IsIList,Table_ExternalData_15[[#This Row],[item_key]],IsITypeList,Table_ExternalData_15[[#This Row],[IType]],IsDList,Table_ExternalData_15[[#Headers],[23]])</f>
        <v>0</v>
      </c>
      <c r="AB11" s="41">
        <f>SUMIFS(IsQList,IsIList,Table_ExternalData_15[[#This Row],[item_key]],IsITypeList,Table_ExternalData_15[[#This Row],[IType]],IsDList,Table_ExternalData_15[[#Headers],[24]])</f>
        <v>0</v>
      </c>
      <c r="AC11" s="41">
        <f>SUMIFS(IsQList,IsIList,Table_ExternalData_15[[#This Row],[item_key]],IsITypeList,Table_ExternalData_15[[#This Row],[IType]],IsDList,Table_ExternalData_15[[#Headers],[25]])</f>
        <v>0</v>
      </c>
      <c r="AD11" s="41">
        <f>SUMIFS(IsQList,IsIList,Table_ExternalData_15[[#This Row],[item_key]],IsITypeList,Table_ExternalData_15[[#This Row],[IType]],IsDList,Table_ExternalData_15[[#Headers],[26]])</f>
        <v>0</v>
      </c>
      <c r="AE11" s="41">
        <f>SUMIFS(IsQList,IsIList,Table_ExternalData_15[[#This Row],[item_key]],IsITypeList,Table_ExternalData_15[[#This Row],[IType]],IsDList,Table_ExternalData_15[[#Headers],[27]])</f>
        <v>38</v>
      </c>
      <c r="AF11" s="41">
        <f>SUMIFS(IsQList,IsIList,Table_ExternalData_15[[#This Row],[item_key]],IsITypeList,Table_ExternalData_15[[#This Row],[IType]],IsDList,Table_ExternalData_15[[#Headers],[28]])</f>
        <v>0</v>
      </c>
      <c r="AG11" s="41">
        <f>SUMIFS(IsQList,IsIList,Table_ExternalData_15[[#This Row],[item_key]],IsITypeList,Table_ExternalData_15[[#This Row],[IType]],IsDList,Table_ExternalData_15[[#Headers],[29]])</f>
        <v>37</v>
      </c>
      <c r="AH11" s="41">
        <f>SUMIFS(IsQList,IsIList,Table_ExternalData_15[[#This Row],[item_key]],IsITypeList,Table_ExternalData_15[[#This Row],[IType]],IsDList,Table_ExternalData_15[[#Headers],[30]])</f>
        <v>76</v>
      </c>
      <c r="AI11" s="41">
        <f>SUMIFS(IsQList,IsIList,Table_ExternalData_15[[#This Row],[item_key]],IsITypeList,Table_ExternalData_15[[#This Row],[IType]],IsDList,Table_ExternalData_15[[#Headers],[31]])</f>
        <v>141</v>
      </c>
      <c r="AJ11" s="41">
        <f>SUM(Table_ExternalData_15[[#This Row],[1]:[31]])</f>
        <v>857</v>
      </c>
    </row>
    <row r="12" spans="1:36" hidden="1">
      <c r="A12" s="39" t="s">
        <v>82</v>
      </c>
      <c r="B12" s="39" t="s">
        <v>85</v>
      </c>
      <c r="C12" s="39" t="s">
        <v>86</v>
      </c>
      <c r="D12" s="40" t="s">
        <v>80</v>
      </c>
      <c r="E12" s="41">
        <f>SUMIFS(IsQList,IsIList,Table_ExternalData_15[[#This Row],[item_key]],IsITypeList,Table_ExternalData_15[[#This Row],[IType]],IsDList,Table_ExternalData_15[[#Headers],[1]])</f>
        <v>85</v>
      </c>
      <c r="F12" s="41">
        <f>SUMIFS(IsQList,IsIList,Table_ExternalData_15[[#This Row],[item_key]],IsITypeList,Table_ExternalData_15[[#This Row],[IType]],IsDList,Table_ExternalData_15[[#Headers],[2]])</f>
        <v>188</v>
      </c>
      <c r="G12" s="41">
        <f>SUMIFS(IsQList,IsIList,Table_ExternalData_15[[#This Row],[item_key]],IsITypeList,Table_ExternalData_15[[#This Row],[IType]],IsDList,Table_ExternalData_15[[#Headers],[3]])</f>
        <v>85</v>
      </c>
      <c r="H12" s="41">
        <f>SUMIFS(IsQList,IsIList,Table_ExternalData_15[[#This Row],[item_key]],IsITypeList,Table_ExternalData_15[[#This Row],[IType]],IsDList,Table_ExternalData_15[[#Headers],[4]])</f>
        <v>250</v>
      </c>
      <c r="I12" s="41">
        <f>SUMIFS(IsQList,IsIList,Table_ExternalData_15[[#This Row],[item_key]],IsITypeList,Table_ExternalData_15[[#This Row],[IType]],IsDList,Table_ExternalData_15[[#Headers],[5]])</f>
        <v>100</v>
      </c>
      <c r="J12" s="41">
        <f>SUMIFS(IsQList,IsIList,Table_ExternalData_15[[#This Row],[item_key]],IsITypeList,Table_ExternalData_15[[#This Row],[IType]],IsDList,Table_ExternalData_15[[#Headers],[6]])</f>
        <v>237</v>
      </c>
      <c r="K12" s="41">
        <f>SUMIFS(IsQList,IsIList,Table_ExternalData_15[[#This Row],[item_key]],IsITypeList,Table_ExternalData_15[[#This Row],[IType]],IsDList,Table_ExternalData_15[[#Headers],[7]])</f>
        <v>209</v>
      </c>
      <c r="L12" s="41">
        <f>SUMIFS(IsQList,IsIList,Table_ExternalData_15[[#This Row],[item_key]],IsITypeList,Table_ExternalData_15[[#This Row],[IType]],IsDList,Table_ExternalData_15[[#Headers],[8]])</f>
        <v>139</v>
      </c>
      <c r="M12" s="41">
        <f>SUMIFS(IsQList,IsIList,Table_ExternalData_15[[#This Row],[item_key]],IsITypeList,Table_ExternalData_15[[#This Row],[IType]],IsDList,Table_ExternalData_15[[#Headers],[9]])</f>
        <v>317</v>
      </c>
      <c r="N12" s="41">
        <f>SUMIFS(IsQList,IsIList,Table_ExternalData_15[[#This Row],[item_key]],IsITypeList,Table_ExternalData_15[[#This Row],[IType]],IsDList,Table_ExternalData_15[[#Headers],[10]])</f>
        <v>207</v>
      </c>
      <c r="O12" s="41">
        <f>SUMIFS(IsQList,IsIList,Table_ExternalData_15[[#This Row],[item_key]],IsITypeList,Table_ExternalData_15[[#This Row],[IType]],IsDList,Table_ExternalData_15[[#Headers],[11]])</f>
        <v>150</v>
      </c>
      <c r="P12" s="41">
        <f>SUMIFS(IsQList,IsIList,Table_ExternalData_15[[#This Row],[item_key]],IsITypeList,Table_ExternalData_15[[#This Row],[IType]],IsDList,Table_ExternalData_15[[#Headers],[12]])</f>
        <v>0</v>
      </c>
      <c r="Q12" s="41">
        <f>SUMIFS(IsQList,IsIList,Table_ExternalData_15[[#This Row],[item_key]],IsITypeList,Table_ExternalData_15[[#This Row],[IType]],IsDList,Table_ExternalData_15[[#Headers],[13]])</f>
        <v>184</v>
      </c>
      <c r="R12" s="41">
        <f>SUMIFS(IsQList,IsIList,Table_ExternalData_15[[#This Row],[item_key]],IsITypeList,Table_ExternalData_15[[#This Row],[IType]],IsDList,Table_ExternalData_15[[#Headers],[14]])</f>
        <v>312</v>
      </c>
      <c r="S12" s="41">
        <f>SUMIFS(IsQList,IsIList,Table_ExternalData_15[[#This Row],[item_key]],IsITypeList,Table_ExternalData_15[[#This Row],[IType]],IsDList,Table_ExternalData_15[[#Headers],[15]])</f>
        <v>186</v>
      </c>
      <c r="T12" s="41">
        <f>SUMIFS(IsQList,IsIList,Table_ExternalData_15[[#This Row],[item_key]],IsITypeList,Table_ExternalData_15[[#This Row],[IType]],IsDList,Table_ExternalData_15[[#Headers],[16]])</f>
        <v>164</v>
      </c>
      <c r="U12" s="41">
        <f>SUMIFS(IsQList,IsIList,Table_ExternalData_15[[#This Row],[item_key]],IsITypeList,Table_ExternalData_15[[#This Row],[IType]],IsDList,Table_ExternalData_15[[#Headers],[17]])</f>
        <v>85</v>
      </c>
      <c r="V12" s="41">
        <f>SUMIFS(IsQList,IsIList,Table_ExternalData_15[[#This Row],[item_key]],IsITypeList,Table_ExternalData_15[[#This Row],[IType]],IsDList,Table_ExternalData_15[[#Headers],[18]])</f>
        <v>0</v>
      </c>
      <c r="W12" s="41">
        <f>SUMIFS(IsQList,IsIList,Table_ExternalData_15[[#This Row],[item_key]],IsITypeList,Table_ExternalData_15[[#This Row],[IType]],IsDList,Table_ExternalData_15[[#Headers],[19]])</f>
        <v>0</v>
      </c>
      <c r="X12" s="41">
        <f>SUMIFS(IsQList,IsIList,Table_ExternalData_15[[#This Row],[item_key]],IsITypeList,Table_ExternalData_15[[#This Row],[IType]],IsDList,Table_ExternalData_15[[#Headers],[20]])</f>
        <v>0</v>
      </c>
      <c r="Y12" s="41">
        <f>SUMIFS(IsQList,IsIList,Table_ExternalData_15[[#This Row],[item_key]],IsITypeList,Table_ExternalData_15[[#This Row],[IType]],IsDList,Table_ExternalData_15[[#Headers],[21]])</f>
        <v>0</v>
      </c>
      <c r="Z12" s="41">
        <f>SUMIFS(IsQList,IsIList,Table_ExternalData_15[[#This Row],[item_key]],IsITypeList,Table_ExternalData_15[[#This Row],[IType]],IsDList,Table_ExternalData_15[[#Headers],[22]])</f>
        <v>0</v>
      </c>
      <c r="AA12" s="41">
        <f>SUMIFS(IsQList,IsIList,Table_ExternalData_15[[#This Row],[item_key]],IsITypeList,Table_ExternalData_15[[#This Row],[IType]],IsDList,Table_ExternalData_15[[#Headers],[23]])</f>
        <v>0</v>
      </c>
      <c r="AB12" s="41">
        <f>SUMIFS(IsQList,IsIList,Table_ExternalData_15[[#This Row],[item_key]],IsITypeList,Table_ExternalData_15[[#This Row],[IType]],IsDList,Table_ExternalData_15[[#Headers],[24]])</f>
        <v>0</v>
      </c>
      <c r="AC12" s="41">
        <f>SUMIFS(IsQList,IsIList,Table_ExternalData_15[[#This Row],[item_key]],IsITypeList,Table_ExternalData_15[[#This Row],[IType]],IsDList,Table_ExternalData_15[[#Headers],[25]])</f>
        <v>0</v>
      </c>
      <c r="AD12" s="41">
        <f>SUMIFS(IsQList,IsIList,Table_ExternalData_15[[#This Row],[item_key]],IsITypeList,Table_ExternalData_15[[#This Row],[IType]],IsDList,Table_ExternalData_15[[#Headers],[26]])</f>
        <v>0</v>
      </c>
      <c r="AE12" s="41">
        <f>SUMIFS(IsQList,IsIList,Table_ExternalData_15[[#This Row],[item_key]],IsITypeList,Table_ExternalData_15[[#This Row],[IType]],IsDList,Table_ExternalData_15[[#Headers],[27]])</f>
        <v>334</v>
      </c>
      <c r="AF12" s="41">
        <f>SUMIFS(IsQList,IsIList,Table_ExternalData_15[[#This Row],[item_key]],IsITypeList,Table_ExternalData_15[[#This Row],[IType]],IsDList,Table_ExternalData_15[[#Headers],[28]])</f>
        <v>382</v>
      </c>
      <c r="AG12" s="41">
        <f>SUMIFS(IsQList,IsIList,Table_ExternalData_15[[#This Row],[item_key]],IsITypeList,Table_ExternalData_15[[#This Row],[IType]],IsDList,Table_ExternalData_15[[#Headers],[29]])</f>
        <v>364</v>
      </c>
      <c r="AH12" s="41">
        <f>SUMIFS(IsQList,IsIList,Table_ExternalData_15[[#This Row],[item_key]],IsITypeList,Table_ExternalData_15[[#This Row],[IType]],IsDList,Table_ExternalData_15[[#Headers],[30]])</f>
        <v>230</v>
      </c>
      <c r="AI12" s="41">
        <f>SUMIFS(IsQList,IsIList,Table_ExternalData_15[[#This Row],[item_key]],IsITypeList,Table_ExternalData_15[[#This Row],[IType]],IsDList,Table_ExternalData_15[[#Headers],[31]])</f>
        <v>727</v>
      </c>
      <c r="AJ12" s="41">
        <f>SUM(Table_ExternalData_15[[#This Row],[1]:[31]])</f>
        <v>4935</v>
      </c>
    </row>
  </sheetData>
  <mergeCells count="2">
    <mergeCell ref="A1:B1"/>
    <mergeCell ref="E1:I1"/>
  </mergeCells>
  <conditionalFormatting sqref="D5:D12">
    <cfRule type="cellIs" dxfId="105" priority="1" operator="equal">
      <formula>"VST"</formula>
    </cfRule>
    <cfRule type="cellIs" dxfId="104" priority="2" operator="equal">
      <formula>"RTN"</formula>
    </cfRule>
    <cfRule type="cellIs" dxfId="103" priority="3" operator="equal">
      <formula>"S/I"</formula>
    </cfRule>
    <cfRule type="cellIs" dxfId="102" priority="4" operator="equal">
      <formula>"I/S"</formula>
    </cfRule>
    <cfRule type="cellIs" dxfId="101" priority="5" operator="equal">
      <formula>"CST"</formula>
    </cfRule>
    <cfRule type="cellIs" dxfId="100" priority="7" operator="equal">
      <formula>"RTN"</formula>
    </cfRule>
    <cfRule type="cellIs" dxfId="99" priority="8" operator="equal">
      <formula>"R/P"</formula>
    </cfRule>
  </conditionalFormatting>
  <conditionalFormatting sqref="D4:D12">
    <cfRule type="cellIs" dxfId="98" priority="6" operator="equal">
      <formula>"RTN"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>
      <pane xSplit="17" ySplit="4" topLeftCell="U5" activePane="bottomRight" state="frozen"/>
      <selection pane="topRight" activeCell="P1" sqref="P1"/>
      <selection pane="bottomLeft" activeCell="A5" sqref="A5"/>
      <selection pane="bottomRight" activeCell="M17" sqref="M17"/>
    </sheetView>
  </sheetViews>
  <sheetFormatPr defaultRowHeight="12" outlineLevelCol="1"/>
  <cols>
    <col min="1" max="1" width="12.28515625" style="1" bestFit="1" customWidth="1"/>
    <col min="2" max="2" width="20.7109375" style="1" customWidth="1"/>
    <col min="3" max="3" width="32.140625" style="1" customWidth="1"/>
    <col min="4" max="4" width="11.5703125" style="1" bestFit="1" customWidth="1"/>
    <col min="5" max="5" width="7.5703125" style="1" hidden="1" customWidth="1" outlineLevel="1"/>
    <col min="6" max="6" width="8.140625" style="1" hidden="1" customWidth="1" outlineLevel="1"/>
    <col min="7" max="8" width="5.7109375" style="1" hidden="1" customWidth="1" outlineLevel="1"/>
    <col min="9" max="9" width="7.140625" style="1" hidden="1" customWidth="1" outlineLevel="1"/>
    <col min="10" max="10" width="16.28515625" style="1" bestFit="1" customWidth="1" collapsed="1"/>
    <col min="11" max="11" width="6.85546875" style="1" customWidth="1" outlineLevel="1"/>
    <col min="12" max="12" width="6.7109375" style="1" customWidth="1" outlineLevel="1"/>
    <col min="13" max="13" width="6" style="1" customWidth="1" outlineLevel="1"/>
    <col min="14" max="14" width="6.85546875" style="1" customWidth="1" outlineLevel="1"/>
    <col min="15" max="15" width="7.28515625" style="1" customWidth="1" outlineLevel="1"/>
    <col min="16" max="16" width="13.5703125" style="1" bestFit="1" customWidth="1"/>
    <col min="17" max="17" width="18.42578125" style="1" bestFit="1" customWidth="1"/>
    <col min="18" max="16384" width="9.140625" style="1"/>
  </cols>
  <sheetData>
    <row r="1" spans="1:17" s="23" customFormat="1" ht="22.5">
      <c r="A1" s="25">
        <v>8</v>
      </c>
      <c r="B1" s="27">
        <v>2012</v>
      </c>
      <c r="C1" s="30" t="s">
        <v>99</v>
      </c>
      <c r="D1" s="29"/>
      <c r="E1" s="29"/>
      <c r="J1" s="29"/>
    </row>
    <row r="2" spans="1:17" s="24" customFormat="1" ht="25.5" customHeight="1" thickBot="1">
      <c r="A2" s="28" t="s">
        <v>98</v>
      </c>
      <c r="B2" s="26">
        <v>2012</v>
      </c>
      <c r="M2" s="31"/>
    </row>
    <row r="4" spans="1:17" s="22" customFormat="1" ht="15.75">
      <c r="A4" s="22" t="s">
        <v>2</v>
      </c>
      <c r="B4" s="22" t="s">
        <v>12</v>
      </c>
      <c r="C4" s="22" t="s">
        <v>13</v>
      </c>
      <c r="D4" s="22" t="s">
        <v>92</v>
      </c>
      <c r="E4" s="22" t="s">
        <v>25</v>
      </c>
      <c r="F4" s="22" t="s">
        <v>88</v>
      </c>
      <c r="G4" s="22" t="s">
        <v>90</v>
      </c>
      <c r="H4" s="22" t="s">
        <v>71</v>
      </c>
      <c r="I4" s="22" t="s">
        <v>26</v>
      </c>
      <c r="J4" s="22" t="s">
        <v>93</v>
      </c>
      <c r="K4" s="22" t="s">
        <v>80</v>
      </c>
      <c r="L4" s="22" t="s">
        <v>77</v>
      </c>
      <c r="M4" s="22" t="s">
        <v>83</v>
      </c>
      <c r="N4" s="22" t="s">
        <v>78</v>
      </c>
      <c r="O4" s="22" t="s">
        <v>79</v>
      </c>
      <c r="P4" s="22" t="s">
        <v>94</v>
      </c>
      <c r="Q4" s="22" t="s">
        <v>91</v>
      </c>
    </row>
    <row r="5" spans="1:17">
      <c r="A5" s="1" t="s">
        <v>8</v>
      </c>
      <c r="B5" s="1" t="s">
        <v>14</v>
      </c>
      <c r="C5" s="1" t="s">
        <v>15</v>
      </c>
      <c r="D5" s="10">
        <f>SUMIFS(OPBQList,OPBIList,Table_ExternalData_17[[#This Row],[item_key]])+SUMIFS(GQList,GIList,Table_ExternalData_17[[#This Row],[item_key]],GDList,0)-ABS(SUMIFS(IsQList,IsIList,Table_ExternalData_17[[#This Row],[item_key]],IsDList,0))</f>
        <v>3330</v>
      </c>
      <c r="E5" s="10">
        <f>SUMIFS(GQList,GIList,Table_ExternalData_17[[#This Row],[item_key]],GTList,Table_ExternalData_17[[#Headers],[GRN]],GDList,"&lt;&gt;"&amp;0)</f>
        <v>529</v>
      </c>
      <c r="F5" s="10">
        <f>SUMIFS(GQList,GIList,Table_ExternalData_17[[#This Row],[item_key]],GTList,Table_ExternalData_17[[#Headers],[VSTR]],GDList,"&lt;&gt;"&amp;0)</f>
        <v>0</v>
      </c>
      <c r="G5" s="10">
        <f>SUMIFS(GQList,GIList,Table_ExternalData_17[[#This Row],[item_key]],GTList,Table_ExternalData_17[[#Headers],[SR]],GDList,"&lt;&gt;"&amp;0)</f>
        <v>0</v>
      </c>
      <c r="H5" s="10">
        <f>SUMIFS(GQList,GIList,Table_ExternalData_17[[#This Row],[item_key]],GTList,Table_ExternalData_17[[#Headers],[TR]],GDList,"&lt;&gt;"&amp;0)</f>
        <v>0</v>
      </c>
      <c r="I5" s="10">
        <f>SUMIFS(GQList,GIList,Table_ExternalData_17[[#This Row],[item_key]],GTList,Table_ExternalData_17[[#Headers],[RCA]],GDList,"&lt;&gt;"&amp;0)</f>
        <v>0</v>
      </c>
      <c r="J5" s="10">
        <f>SUM(Table_ExternalData_17[[#This Row],[GRN]]+Table_ExternalData_17[[#This Row],[VSTR]]+Table_ExternalData_17[[#This Row],[SR]]+Table_ExternalData_17[[#This Row],[TR]]+Table_ExternalData_17[[#This Row],[RCA]])</f>
        <v>529</v>
      </c>
      <c r="K5" s="10">
        <f>SUMIFS(IsQList,IsIList,Table_ExternalData_17[[#This Row],[item_key]],IsITypeList,Table_ExternalData_17[[#Headers],[R/P]],IsDList,"&lt;&gt;"&amp;0)</f>
        <v>0</v>
      </c>
      <c r="L5" s="10">
        <f>SUMIFS(IsQList,IsIList,Table_ExternalData_15[[#This Row],[item_key]],IsITypeList,Table_ExternalData_17[[#Headers],[CST]],IsDList,"&lt;&gt;"&amp;0)</f>
        <v>0</v>
      </c>
      <c r="M5" s="10">
        <f>SUMIFS(IsQList,IsIList,Table_ExternalData_15[[#This Row],[item_key]],IsITypeList,Table_ExternalData_17[[#Headers],[S/I]],IsDList,"&lt;&gt;"&amp;0)</f>
        <v>0</v>
      </c>
      <c r="N5" s="10">
        <f>SUMIFS(IsQList,IsIList,Table_ExternalData_15[[#This Row],[item_key]],IsITypeList,Table_ExternalData_17[[#Headers],[VST]],IsDList,"&lt;&gt;"&amp;0)</f>
        <v>0</v>
      </c>
      <c r="O5" s="10">
        <f>ABS(SUMIFS(IsQList,IsIList,Table_ExternalData_17[[#This Row],[item_key]],IsITypeList,Table_ExternalData_17[[#Headers],[RTN]],IsDList,"&lt;&gt;"&amp;0))</f>
        <v>6</v>
      </c>
      <c r="P5" s="10">
        <f>SUM(Table_ExternalData_17[[#This Row],[R/P]:[RTN]])</f>
        <v>6</v>
      </c>
      <c r="Q5" s="10">
        <f>SUM((Table_ExternalData_17[[#This Row],[Opening]]+Table_ExternalData_17[[#This Row],[Total Receipt]])-ABS(Table_ExternalData_17[[#This Row],[Total Issue]]))</f>
        <v>3853</v>
      </c>
    </row>
    <row r="6" spans="1:17">
      <c r="A6" s="1" t="s">
        <v>81</v>
      </c>
      <c r="B6" s="1" t="s">
        <v>84</v>
      </c>
      <c r="C6" s="1" t="s">
        <v>16</v>
      </c>
      <c r="D6" s="10">
        <f>SUMIFS(OPBQList,OPBIList,Table_ExternalData_17[[#This Row],[item_key]])+SUMIFS(GQList,GIList,Table_ExternalData_17[[#This Row],[item_key]],GDList,0)-ABS(SUMIFS(IsQList,IsIList,Table_ExternalData_17[[#This Row],[item_key]],IsDList,0))</f>
        <v>26422</v>
      </c>
      <c r="E6" s="10">
        <f>SUMIFS(GQList,GIList,Table_ExternalData_17[[#This Row],[item_key]],GTList,Table_ExternalData_17[[#Headers],[GRN]],GDList,"&lt;&gt;"&amp;0)</f>
        <v>0</v>
      </c>
      <c r="F6" s="10">
        <f>SUMIFS(GQList,GIList,Table_ExternalData_17[[#This Row],[item_key]],GTList,Table_ExternalData_17[[#Headers],[VSTR]],GDList,"&lt;&gt;"&amp;0)</f>
        <v>0</v>
      </c>
      <c r="G6" s="10">
        <f>SUMIFS(GQList,GIList,Table_ExternalData_17[[#This Row],[item_key]],GTList,Table_ExternalData_17[[#Headers],[SR]],GDList,"&lt;&gt;"&amp;0)</f>
        <v>0</v>
      </c>
      <c r="H6" s="10">
        <f>SUMIFS(GQList,GIList,Table_ExternalData_17[[#This Row],[item_key]],GTList,Table_ExternalData_17[[#Headers],[TR]],GDList,"&lt;&gt;"&amp;0)</f>
        <v>0</v>
      </c>
      <c r="I6" s="10">
        <f>SUMIFS(GQList,GIList,Table_ExternalData_17[[#This Row],[item_key]],GTList,Table_ExternalData_17[[#Headers],[RCA]],GDList,"&lt;&gt;"&amp;0)</f>
        <v>0</v>
      </c>
      <c r="J6" s="10">
        <f>SUM(Table_ExternalData_17[[#This Row],[GRN]]+Table_ExternalData_17[[#This Row],[VSTR]]+Table_ExternalData_17[[#This Row],[SR]]+Table_ExternalData_17[[#This Row],[TR]]+Table_ExternalData_17[[#This Row],[RCA]])</f>
        <v>0</v>
      </c>
      <c r="K6" s="10">
        <f>SUMIFS(IsQList,IsIList,Table_ExternalData_17[[#This Row],[item_key]],IsITypeList,Table_ExternalData_17[[#Headers],[R/P]],IsDList,"&lt;&gt;"&amp;0)</f>
        <v>1448</v>
      </c>
      <c r="L6" s="10">
        <f>SUMIFS(IsQList,IsIList,Table_ExternalData_15[[#This Row],[item_key]],IsITypeList,Table_ExternalData_17[[#Headers],[CST]],IsDList,"&lt;&gt;"&amp;0)</f>
        <v>0</v>
      </c>
      <c r="M6" s="10">
        <f>SUMIFS(IsQList,IsIList,Table_ExternalData_15[[#This Row],[item_key]],IsITypeList,Table_ExternalData_17[[#Headers],[S/I]],IsDList,"&lt;&gt;"&amp;0)</f>
        <v>0</v>
      </c>
      <c r="N6" s="10">
        <f>SUMIFS(IsQList,IsIList,Table_ExternalData_15[[#This Row],[item_key]],IsITypeList,Table_ExternalData_17[[#Headers],[VST]],IsDList,"&lt;&gt;"&amp;0)</f>
        <v>0</v>
      </c>
      <c r="O6" s="10">
        <f>ABS(SUMIFS(IsQList,IsIList,Table_ExternalData_17[[#This Row],[item_key]],IsITypeList,Table_ExternalData_17[[#Headers],[RTN]],IsDList,"&lt;&gt;"&amp;0))</f>
        <v>0</v>
      </c>
      <c r="P6" s="10">
        <f>SUM(Table_ExternalData_17[[#This Row],[R/P]:[RTN]])</f>
        <v>1448</v>
      </c>
      <c r="Q6" s="10">
        <f>SUM((Table_ExternalData_17[[#This Row],[Opening]]+Table_ExternalData_17[[#This Row],[Total Receipt]])-ABS(Table_ExternalData_17[[#This Row],[Total Issue]]))</f>
        <v>24974</v>
      </c>
    </row>
    <row r="7" spans="1:17">
      <c r="A7" s="39" t="s">
        <v>9</v>
      </c>
      <c r="B7" s="39" t="s">
        <v>18</v>
      </c>
      <c r="C7" s="39" t="s">
        <v>19</v>
      </c>
      <c r="D7" s="41">
        <f>SUMIFS(OPBQList,OPBIList,Table_ExternalData_17[[#This Row],[item_key]])+SUMIFS(GQList,GIList,Table_ExternalData_17[[#This Row],[item_key]],GDList,0)-ABS(SUMIFS(IsQList,IsIList,Table_ExternalData_17[[#This Row],[item_key]],IsDList,0))</f>
        <v>-2723</v>
      </c>
      <c r="E7" s="41">
        <f>SUMIFS(GQList,GIList,Table_ExternalData_17[[#This Row],[item_key]],GTList,Table_ExternalData_17[[#Headers],[GRN]],GDList,"&lt;&gt;"&amp;0)</f>
        <v>4070</v>
      </c>
      <c r="F7" s="41">
        <f>SUMIFS(GQList,GIList,Table_ExternalData_17[[#This Row],[item_key]],GTList,Table_ExternalData_17[[#Headers],[VSTR]],GDList,"&lt;&gt;"&amp;0)</f>
        <v>0</v>
      </c>
      <c r="G7" s="41">
        <f>SUMIFS(GQList,GIList,Table_ExternalData_17[[#This Row],[item_key]],GTList,Table_ExternalData_17[[#Headers],[SR]],GDList,"&lt;&gt;"&amp;0)</f>
        <v>0</v>
      </c>
      <c r="H7" s="41">
        <f>SUMIFS(GQList,GIList,Table_ExternalData_17[[#This Row],[item_key]],GTList,Table_ExternalData_17[[#Headers],[TR]],GDList,"&lt;&gt;"&amp;0)</f>
        <v>0</v>
      </c>
      <c r="I7" s="41">
        <f>SUMIFS(GQList,GIList,Table_ExternalData_17[[#This Row],[item_key]],GTList,Table_ExternalData_17[[#Headers],[RCA]],GDList,"&lt;&gt;"&amp;0)</f>
        <v>0</v>
      </c>
      <c r="J7" s="41">
        <f>SUM(Table_ExternalData_17[[#This Row],[GRN]]+Table_ExternalData_17[[#This Row],[VSTR]]+Table_ExternalData_17[[#This Row],[SR]]+Table_ExternalData_17[[#This Row],[TR]]+Table_ExternalData_17[[#This Row],[RCA]])</f>
        <v>4070</v>
      </c>
      <c r="K7" s="41">
        <f>SUMIFS(IsQList,IsIList,Table_ExternalData_17[[#This Row],[item_key]],IsITypeList,Table_ExternalData_17[[#Headers],[R/P]],IsDList,"&lt;&gt;"&amp;0)</f>
        <v>4935</v>
      </c>
      <c r="L7" s="41">
        <f>SUMIFS(IsQList,IsIList,Table_ExternalData_15[[#This Row],[item_key]],IsITypeList,Table_ExternalData_17[[#Headers],[CST]],IsDList,"&lt;&gt;"&amp;0)</f>
        <v>0</v>
      </c>
      <c r="M7" s="41">
        <f>SUMIFS(IsQList,IsIList,Table_ExternalData_15[[#This Row],[item_key]],IsITypeList,Table_ExternalData_17[[#Headers],[S/I]],IsDList,"&lt;&gt;"&amp;0)</f>
        <v>0</v>
      </c>
      <c r="N7" s="41">
        <f>SUMIFS(IsQList,IsIList,Table_ExternalData_15[[#This Row],[item_key]],IsITypeList,Table_ExternalData_17[[#Headers],[VST]],IsDList,"&lt;&gt;"&amp;0)</f>
        <v>0</v>
      </c>
      <c r="O7" s="41">
        <f>ABS(SUMIFS(IsQList,IsIList,Table_ExternalData_17[[#This Row],[item_key]],IsITypeList,Table_ExternalData_17[[#Headers],[RTN]],IsDList,"&lt;&gt;"&amp;0))</f>
        <v>2</v>
      </c>
      <c r="P7" s="41">
        <f>SUM(Table_ExternalData_17[[#This Row],[R/P]:[RTN]])</f>
        <v>4937</v>
      </c>
      <c r="Q7" s="41">
        <f>SUM((Table_ExternalData_17[[#This Row],[Opening]]+Table_ExternalData_17[[#This Row],[Total Receipt]])-ABS(Table_ExternalData_17[[#This Row],[Total Issue]]))</f>
        <v>-3590</v>
      </c>
    </row>
    <row r="8" spans="1:17">
      <c r="A8" s="39" t="s">
        <v>6</v>
      </c>
      <c r="B8" s="39" t="s">
        <v>20</v>
      </c>
      <c r="C8" s="39" t="s">
        <v>21</v>
      </c>
      <c r="D8" s="41">
        <f>SUMIFS(OPBQList,OPBIList,Table_ExternalData_17[[#This Row],[item_key]])+SUMIFS(GQList,GIList,Table_ExternalData_17[[#This Row],[item_key]],GDList,0)-ABS(SUMIFS(IsQList,IsIList,Table_ExternalData_17[[#This Row],[item_key]],IsDList,0))</f>
        <v>345</v>
      </c>
      <c r="E8" s="41">
        <f>SUMIFS(GQList,GIList,Table_ExternalData_17[[#This Row],[item_key]],GTList,Table_ExternalData_17[[#Headers],[GRN]],GDList,"&lt;&gt;"&amp;0)</f>
        <v>4552</v>
      </c>
      <c r="F8" s="41">
        <f>SUMIFS(GQList,GIList,Table_ExternalData_17[[#This Row],[item_key]],GTList,Table_ExternalData_17[[#Headers],[VSTR]],GDList,"&lt;&gt;"&amp;0)</f>
        <v>0</v>
      </c>
      <c r="G8" s="41">
        <f>SUMIFS(GQList,GIList,Table_ExternalData_17[[#This Row],[item_key]],GTList,Table_ExternalData_17[[#Headers],[SR]],GDList,"&lt;&gt;"&amp;0)</f>
        <v>0</v>
      </c>
      <c r="H8" s="41">
        <f>SUMIFS(GQList,GIList,Table_ExternalData_17[[#This Row],[item_key]],GTList,Table_ExternalData_17[[#Headers],[TR]],GDList,"&lt;&gt;"&amp;0)</f>
        <v>0</v>
      </c>
      <c r="I8" s="41">
        <f>SUMIFS(GQList,GIList,Table_ExternalData_17[[#This Row],[item_key]],GTList,Table_ExternalData_17[[#Headers],[RCA]],GDList,"&lt;&gt;"&amp;0)</f>
        <v>-44</v>
      </c>
      <c r="J8" s="41">
        <f>SUM(Table_ExternalData_17[[#This Row],[GRN]]+Table_ExternalData_17[[#This Row],[VSTR]]+Table_ExternalData_17[[#This Row],[SR]]+Table_ExternalData_17[[#This Row],[TR]]+Table_ExternalData_17[[#This Row],[RCA]])</f>
        <v>4508</v>
      </c>
      <c r="K8" s="41">
        <f>SUMIFS(IsQList,IsIList,Table_ExternalData_17[[#This Row],[item_key]],IsITypeList,Table_ExternalData_17[[#Headers],[R/P]],IsDList,"&lt;&gt;"&amp;0)</f>
        <v>4497</v>
      </c>
      <c r="L8" s="41">
        <f>SUMIFS(IsQList,IsIList,Table_ExternalData_15[[#This Row],[item_key]],IsITypeList,Table_ExternalData_17[[#Headers],[CST]],IsDList,"&lt;&gt;"&amp;0)</f>
        <v>0</v>
      </c>
      <c r="M8" s="41">
        <f>SUMIFS(IsQList,IsIList,Table_ExternalData_15[[#This Row],[item_key]],IsITypeList,Table_ExternalData_17[[#Headers],[S/I]],IsDList,"&lt;&gt;"&amp;0)</f>
        <v>0</v>
      </c>
      <c r="N8" s="41">
        <f>SUMIFS(IsQList,IsIList,Table_ExternalData_15[[#This Row],[item_key]],IsITypeList,Table_ExternalData_17[[#Headers],[VST]],IsDList,"&lt;&gt;"&amp;0)</f>
        <v>0</v>
      </c>
      <c r="O8" s="41">
        <f>ABS(SUMIFS(IsQList,IsIList,Table_ExternalData_17[[#This Row],[item_key]],IsITypeList,Table_ExternalData_17[[#Headers],[RTN]],IsDList,"&lt;&gt;"&amp;0))</f>
        <v>857</v>
      </c>
      <c r="P8" s="41">
        <f>SUM(Table_ExternalData_17[[#This Row],[R/P]:[RTN]])</f>
        <v>5354</v>
      </c>
      <c r="Q8" s="41">
        <f>SUM((Table_ExternalData_17[[#This Row],[Opening]]+Table_ExternalData_17[[#This Row],[Total Receipt]])-ABS(Table_ExternalData_17[[#This Row],[Total Issue]]))</f>
        <v>-501</v>
      </c>
    </row>
    <row r="9" spans="1:17">
      <c r="A9" s="39" t="s">
        <v>82</v>
      </c>
      <c r="B9" s="39" t="s">
        <v>85</v>
      </c>
      <c r="C9" s="39" t="s">
        <v>86</v>
      </c>
      <c r="D9" s="41">
        <f>SUMIFS(OPBQList,OPBIList,Table_ExternalData_17[[#This Row],[item_key]])+SUMIFS(GQList,GIList,Table_ExternalData_17[[#This Row],[item_key]],GDList,0)-ABS(SUMIFS(IsQList,IsIList,Table_ExternalData_17[[#This Row],[item_key]],IsDList,0))</f>
        <v>-4330</v>
      </c>
      <c r="E9" s="41">
        <f>SUMIFS(GQList,GIList,Table_ExternalData_17[[#This Row],[item_key]],GTList,Table_ExternalData_17[[#Headers],[GRN]],GDList,"&lt;&gt;"&amp;0)</f>
        <v>9649</v>
      </c>
      <c r="F9" s="41">
        <f>SUMIFS(GQList,GIList,Table_ExternalData_17[[#This Row],[item_key]],GTList,Table_ExternalData_17[[#Headers],[VSTR]],GDList,"&lt;&gt;"&amp;0)</f>
        <v>0</v>
      </c>
      <c r="G9" s="41">
        <f>SUMIFS(GQList,GIList,Table_ExternalData_17[[#This Row],[item_key]],GTList,Table_ExternalData_17[[#Headers],[SR]],GDList,"&lt;&gt;"&amp;0)</f>
        <v>0</v>
      </c>
      <c r="H9" s="41">
        <f>SUMIFS(GQList,GIList,Table_ExternalData_17[[#This Row],[item_key]],GTList,Table_ExternalData_17[[#Headers],[TR]],GDList,"&lt;&gt;"&amp;0)</f>
        <v>0</v>
      </c>
      <c r="I9" s="41">
        <f>SUMIFS(GQList,GIList,Table_ExternalData_17[[#This Row],[item_key]],GTList,Table_ExternalData_17[[#Headers],[RCA]],GDList,"&lt;&gt;"&amp;0)</f>
        <v>0</v>
      </c>
      <c r="J9" s="41">
        <f>SUM(Table_ExternalData_17[[#This Row],[GRN]]+Table_ExternalData_17[[#This Row],[VSTR]]+Table_ExternalData_17[[#This Row],[SR]]+Table_ExternalData_17[[#This Row],[TR]]+Table_ExternalData_17[[#This Row],[RCA]])</f>
        <v>9649</v>
      </c>
      <c r="K9" s="41">
        <f>SUMIFS(IsQList,IsIList,Table_ExternalData_17[[#This Row],[item_key]],IsITypeList,Table_ExternalData_17[[#Headers],[R/P]],IsDList,"&lt;&gt;"&amp;0)</f>
        <v>4935</v>
      </c>
      <c r="L9" s="41">
        <f>SUMIFS(IsQList,IsIList,Table_ExternalData_15[[#This Row],[item_key]],IsITypeList,Table_ExternalData_17[[#Headers],[CST]],IsDList,"&lt;&gt;"&amp;0)</f>
        <v>0</v>
      </c>
      <c r="M9" s="41">
        <f>SUMIFS(IsQList,IsIList,Table_ExternalData_15[[#This Row],[item_key]],IsITypeList,Table_ExternalData_17[[#Headers],[S/I]],IsDList,"&lt;&gt;"&amp;0)</f>
        <v>0</v>
      </c>
      <c r="N9" s="41">
        <f>SUMIFS(IsQList,IsIList,Table_ExternalData_15[[#This Row],[item_key]],IsITypeList,Table_ExternalData_17[[#Headers],[VST]],IsDList,"&lt;&gt;"&amp;0)</f>
        <v>0</v>
      </c>
      <c r="O9" s="41">
        <f>ABS(SUMIFS(IsQList,IsIList,Table_ExternalData_17[[#This Row],[item_key]],IsITypeList,Table_ExternalData_17[[#Headers],[RTN]],IsDList,"&lt;&gt;"&amp;0))</f>
        <v>0</v>
      </c>
      <c r="P9" s="41">
        <f>SUM(Table_ExternalData_17[[#This Row],[R/P]:[RTN]])</f>
        <v>4935</v>
      </c>
      <c r="Q9" s="41">
        <f>SUM((Table_ExternalData_17[[#This Row],[Opening]]+Table_ExternalData_17[[#This Row],[Total Receipt]])-ABS(Table_ExternalData_17[[#This Row],[Total Issue]]))</f>
        <v>384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B2115"/>
  <sheetViews>
    <sheetView workbookViewId="0">
      <selection activeCell="B3" sqref="B3"/>
    </sheetView>
  </sheetViews>
  <sheetFormatPr defaultRowHeight="15"/>
  <cols>
    <col min="1" max="1" width="11.5703125" bestFit="1" customWidth="1"/>
    <col min="2" max="2" width="9" bestFit="1" customWidth="1"/>
  </cols>
  <sheetData>
    <row r="1" spans="1:2">
      <c r="A1" t="s">
        <v>2</v>
      </c>
      <c r="B1" t="s">
        <v>97</v>
      </c>
    </row>
    <row r="2" spans="1:2">
      <c r="A2" t="s">
        <v>8</v>
      </c>
      <c r="B2">
        <v>2039</v>
      </c>
    </row>
    <row r="3" spans="1:2">
      <c r="A3" t="s">
        <v>81</v>
      </c>
      <c r="B3">
        <v>28886</v>
      </c>
    </row>
    <row r="4" spans="1:2">
      <c r="A4" t="s">
        <v>9</v>
      </c>
      <c r="B4">
        <v>1166</v>
      </c>
    </row>
    <row r="5" spans="1:2">
      <c r="A5" t="s">
        <v>6</v>
      </c>
      <c r="B5">
        <v>2372</v>
      </c>
    </row>
    <row r="6" spans="1:2">
      <c r="A6" t="s">
        <v>82</v>
      </c>
      <c r="B6">
        <v>659</v>
      </c>
    </row>
    <row r="7" spans="1:2" hidden="1"/>
    <row r="8" spans="1:2" hidden="1"/>
    <row r="9" spans="1:2" hidden="1"/>
    <row r="10" spans="1:2" hidden="1"/>
    <row r="11" spans="1:2" hidden="1"/>
    <row r="12" spans="1:2" hidden="1"/>
    <row r="13" spans="1:2" hidden="1"/>
    <row r="14" spans="1:2" hidden="1"/>
    <row r="15" spans="1:2" hidden="1"/>
    <row r="16" spans="1:2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D5:P28"/>
  <sheetViews>
    <sheetView topLeftCell="A7" workbookViewId="0">
      <selection activeCell="P24" sqref="P24"/>
    </sheetView>
  </sheetViews>
  <sheetFormatPr defaultRowHeight="15"/>
  <sheetData>
    <row r="5" spans="4:16">
      <c r="D5">
        <v>1</v>
      </c>
      <c r="I5">
        <f>SUMIFS(GQList,GDList,"&lt;&gt;"&amp;0)</f>
        <v>18756</v>
      </c>
    </row>
    <row r="6" spans="4:16">
      <c r="D6">
        <v>2</v>
      </c>
    </row>
    <row r="7" spans="4:16">
      <c r="D7">
        <v>3</v>
      </c>
      <c r="L7" s="42">
        <v>85</v>
      </c>
    </row>
    <row r="8" spans="4:16">
      <c r="D8">
        <v>4</v>
      </c>
      <c r="L8" s="43">
        <v>188</v>
      </c>
    </row>
    <row r="9" spans="4:16">
      <c r="D9">
        <v>6</v>
      </c>
      <c r="L9" s="42">
        <v>85</v>
      </c>
      <c r="O9" s="42">
        <v>-6</v>
      </c>
      <c r="P9" s="42">
        <v>-6</v>
      </c>
    </row>
    <row r="10" spans="4:16">
      <c r="L10" s="43">
        <v>250</v>
      </c>
      <c r="O10" s="44">
        <v>-2</v>
      </c>
      <c r="P10" s="44">
        <v>-2</v>
      </c>
    </row>
    <row r="11" spans="4:16">
      <c r="L11" s="42">
        <v>100</v>
      </c>
      <c r="O11" s="45">
        <v>-140</v>
      </c>
      <c r="P11" s="45">
        <v>-140</v>
      </c>
    </row>
    <row r="12" spans="4:16">
      <c r="L12" s="43">
        <v>237</v>
      </c>
      <c r="O12" s="44">
        <v>-67</v>
      </c>
      <c r="P12" s="44">
        <v>-67</v>
      </c>
    </row>
    <row r="13" spans="4:16">
      <c r="L13" s="42">
        <v>209</v>
      </c>
      <c r="O13" s="45">
        <v>-25</v>
      </c>
      <c r="P13" s="45">
        <v>-25</v>
      </c>
    </row>
    <row r="14" spans="4:16">
      <c r="L14" s="43">
        <v>139</v>
      </c>
      <c r="O14" s="44">
        <v>-203</v>
      </c>
      <c r="P14" s="44">
        <v>-203</v>
      </c>
    </row>
    <row r="15" spans="4:16">
      <c r="L15" s="42">
        <v>317</v>
      </c>
      <c r="O15" s="45">
        <v>-74</v>
      </c>
      <c r="P15" s="45">
        <v>-74</v>
      </c>
    </row>
    <row r="16" spans="4:16">
      <c r="L16" s="43">
        <v>207</v>
      </c>
      <c r="O16" s="44">
        <v>-56</v>
      </c>
      <c r="P16" s="44">
        <v>-56</v>
      </c>
    </row>
    <row r="17" spans="12:16">
      <c r="L17" s="42">
        <v>150</v>
      </c>
      <c r="O17" s="45">
        <v>-38</v>
      </c>
      <c r="P17" s="45">
        <v>-38</v>
      </c>
    </row>
    <row r="18" spans="12:16">
      <c r="L18" s="43">
        <v>184</v>
      </c>
      <c r="O18" s="44">
        <v>-37</v>
      </c>
      <c r="P18" s="44">
        <v>-37</v>
      </c>
    </row>
    <row r="19" spans="12:16">
      <c r="L19" s="42">
        <v>312</v>
      </c>
      <c r="O19" s="45">
        <v>-76</v>
      </c>
      <c r="P19" s="45">
        <v>-76</v>
      </c>
    </row>
    <row r="20" spans="12:16">
      <c r="L20" s="43">
        <v>186</v>
      </c>
      <c r="O20" s="44">
        <v>-141</v>
      </c>
      <c r="P20" s="44">
        <v>-141</v>
      </c>
    </row>
    <row r="21" spans="12:16">
      <c r="L21" s="42">
        <v>164</v>
      </c>
      <c r="O21">
        <f>SUM(O9:O20)</f>
        <v>-865</v>
      </c>
      <c r="P21" s="45">
        <v>-9</v>
      </c>
    </row>
    <row r="22" spans="12:16">
      <c r="L22" s="43">
        <v>85</v>
      </c>
      <c r="P22" s="44">
        <v>-1507</v>
      </c>
    </row>
    <row r="23" spans="12:16">
      <c r="L23" s="42">
        <v>334</v>
      </c>
      <c r="P23">
        <f>SUM(P9:P22)</f>
        <v>-2381</v>
      </c>
    </row>
    <row r="24" spans="12:16">
      <c r="L24" s="43">
        <v>382</v>
      </c>
    </row>
    <row r="25" spans="12:16">
      <c r="L25" s="42">
        <v>364</v>
      </c>
    </row>
    <row r="26" spans="12:16">
      <c r="L26" s="43">
        <v>230</v>
      </c>
    </row>
    <row r="27" spans="12:16">
      <c r="L27" s="42">
        <v>727</v>
      </c>
    </row>
    <row r="28" spans="12:16">
      <c r="L28">
        <f>SUM(L7:L27)</f>
        <v>4935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RawData_GRN_Detail</vt:lpstr>
      <vt:lpstr>GRN</vt:lpstr>
      <vt:lpstr>MonthList</vt:lpstr>
      <vt:lpstr>RawIssue</vt:lpstr>
      <vt:lpstr>Issue</vt:lpstr>
      <vt:lpstr>MasterSheet</vt:lpstr>
      <vt:lpstr>RawOpening</vt:lpstr>
      <vt:lpstr>Sheet1</vt:lpstr>
      <vt:lpstr>GDList</vt:lpstr>
      <vt:lpstr>GIList</vt:lpstr>
      <vt:lpstr>GQList</vt:lpstr>
      <vt:lpstr>GTList</vt:lpstr>
      <vt:lpstr>IsDList</vt:lpstr>
      <vt:lpstr>IsIList</vt:lpstr>
      <vt:lpstr>IsITypeList</vt:lpstr>
      <vt:lpstr>IsQList</vt:lpstr>
      <vt:lpstr>OPBIList</vt:lpstr>
      <vt:lpstr>OPBQList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2012-10-02T13:19:14Z</dcterms:modified>
</cp:coreProperties>
</file>