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Sc\Dissertation\Railway Papers\Data\Roadways\"/>
    </mc:Choice>
  </mc:AlternateContent>
  <xr:revisionPtr revIDLastSave="0" documentId="13_ncr:1_{F3C18848-07E3-4CBA-B5A5-25E5DEBAD33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able 20.1(All India)" sheetId="2" r:id="rId1"/>
    <sheet name="Table 20.1(State Wise)" sheetId="3" r:id="rId2"/>
  </sheets>
  <definedNames>
    <definedName name="_xlnm.Print_Area" localSheetId="0">'Table 20.1(All India)'!$A$1:$J$30</definedName>
    <definedName name="_xlnm.Print_Area" localSheetId="1">'Table 20.1(State Wise)'!$A$1:$BU$60</definedName>
    <definedName name="_xlnm.Print_Area">#REF!</definedName>
    <definedName name="PRINT_AREA_MI">#REF!</definedName>
    <definedName name="_xlnm.Print_Titles" localSheetId="1">'Table 20.1(State Wise)'!$A:$A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2" l="1"/>
  <c r="E22" i="2"/>
  <c r="BI48" i="3"/>
  <c r="BI49" i="3"/>
  <c r="BI47" i="3"/>
  <c r="BI46" i="3"/>
  <c r="BI45" i="3"/>
  <c r="BI40" i="3"/>
  <c r="BI39" i="3"/>
  <c r="BI38" i="3"/>
  <c r="BI37" i="3"/>
  <c r="BI35" i="3"/>
  <c r="BI34" i="3"/>
  <c r="BI33" i="3"/>
  <c r="BI32" i="3"/>
  <c r="BI31" i="3"/>
  <c r="BI30" i="3"/>
  <c r="BI29" i="3"/>
  <c r="BI28" i="3"/>
  <c r="BI27" i="3"/>
  <c r="BI26" i="3"/>
  <c r="BI25" i="3"/>
  <c r="BI24" i="3"/>
  <c r="BI23" i="3"/>
  <c r="BI21" i="3"/>
  <c r="BI20" i="3"/>
  <c r="BI19" i="3"/>
  <c r="BI18" i="3"/>
  <c r="BI16" i="3"/>
  <c r="BI15" i="3"/>
  <c r="BI14" i="3"/>
  <c r="BI12" i="3"/>
  <c r="AC14" i="3"/>
  <c r="AC49" i="3"/>
  <c r="AC47" i="3"/>
  <c r="AC46" i="3"/>
  <c r="AC45" i="3"/>
  <c r="AC44" i="3"/>
  <c r="AC43" i="3"/>
  <c r="AC39" i="3"/>
  <c r="AC38" i="3"/>
  <c r="AC37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2" i="3"/>
  <c r="BA40" i="3"/>
  <c r="BH49" i="3"/>
  <c r="BG49" i="3"/>
  <c r="AB49" i="3"/>
  <c r="AA49" i="3"/>
  <c r="BH48" i="3"/>
  <c r="BG48" i="3"/>
  <c r="BH47" i="3"/>
  <c r="BG47" i="3"/>
  <c r="AB47" i="3"/>
  <c r="AA47" i="3"/>
  <c r="BH46" i="3"/>
  <c r="BG46" i="3"/>
  <c r="AB46" i="3"/>
  <c r="AA46" i="3"/>
  <c r="BH45" i="3"/>
  <c r="BG45" i="3"/>
  <c r="AB45" i="3"/>
  <c r="AA45" i="3"/>
  <c r="BH44" i="3"/>
  <c r="BG44" i="3"/>
  <c r="AB44" i="3"/>
  <c r="AA44" i="3"/>
  <c r="BH43" i="3"/>
  <c r="AB43" i="3"/>
  <c r="BH40" i="3"/>
  <c r="BG40" i="3"/>
  <c r="BH39" i="3"/>
  <c r="BG39" i="3"/>
  <c r="AB39" i="3"/>
  <c r="AA39" i="3"/>
  <c r="BH38" i="3"/>
  <c r="BG38" i="3"/>
  <c r="AB38" i="3"/>
  <c r="AA38" i="3"/>
  <c r="BH37" i="3"/>
  <c r="BG37" i="3"/>
  <c r="AB37" i="3"/>
  <c r="AA37" i="3"/>
  <c r="BH35" i="3"/>
  <c r="BG35" i="3"/>
  <c r="AB35" i="3"/>
  <c r="AA35" i="3"/>
  <c r="BH34" i="3"/>
  <c r="BG34" i="3"/>
  <c r="AB34" i="3"/>
  <c r="AA34" i="3"/>
  <c r="BH33" i="3"/>
  <c r="BG33" i="3"/>
  <c r="AB33" i="3"/>
  <c r="AA33" i="3"/>
  <c r="BH32" i="3"/>
  <c r="BG32" i="3"/>
  <c r="AB32" i="3"/>
  <c r="AA32" i="3"/>
  <c r="BH31" i="3"/>
  <c r="BG31" i="3"/>
  <c r="AB31" i="3"/>
  <c r="AA31" i="3"/>
  <c r="BH30" i="3"/>
  <c r="BG30" i="3"/>
  <c r="AB30" i="3"/>
  <c r="AA30" i="3"/>
  <c r="BH29" i="3"/>
  <c r="BG29" i="3"/>
  <c r="AB29" i="3"/>
  <c r="AA29" i="3"/>
  <c r="BH28" i="3"/>
  <c r="BG28" i="3"/>
  <c r="AB28" i="3"/>
  <c r="AA28" i="3"/>
  <c r="BH27" i="3"/>
  <c r="BG27" i="3"/>
  <c r="AB27" i="3"/>
  <c r="AA27" i="3"/>
  <c r="BH26" i="3"/>
  <c r="BG26" i="3"/>
  <c r="AB26" i="3"/>
  <c r="AA26" i="3"/>
  <c r="BH25" i="3"/>
  <c r="BG25" i="3"/>
  <c r="AB25" i="3"/>
  <c r="AA25" i="3"/>
  <c r="BH24" i="3"/>
  <c r="BG24" i="3"/>
  <c r="AB24" i="3"/>
  <c r="AA24" i="3"/>
  <c r="BH23" i="3"/>
  <c r="BG23" i="3"/>
  <c r="AB23" i="3"/>
  <c r="AA23" i="3"/>
  <c r="AB22" i="3"/>
  <c r="AA22" i="3"/>
  <c r="BH21" i="3"/>
  <c r="BG21" i="3"/>
  <c r="AB21" i="3"/>
  <c r="AA21" i="3"/>
  <c r="BH20" i="3"/>
  <c r="BG20" i="3"/>
  <c r="AB20" i="3"/>
  <c r="AA20" i="3"/>
  <c r="BH19" i="3"/>
  <c r="BG19" i="3"/>
  <c r="AB19" i="3"/>
  <c r="AA19" i="3"/>
  <c r="BH18" i="3"/>
  <c r="BG18" i="3"/>
  <c r="AB18" i="3"/>
  <c r="AA18" i="3"/>
  <c r="BH17" i="3"/>
  <c r="BG17" i="3"/>
  <c r="AB17" i="3"/>
  <c r="AA17" i="3"/>
  <c r="BH16" i="3"/>
  <c r="BG16" i="3"/>
  <c r="AB16" i="3"/>
  <c r="AA16" i="3"/>
  <c r="BH15" i="3"/>
  <c r="BG15" i="3"/>
  <c r="AB15" i="3"/>
  <c r="BH14" i="3"/>
  <c r="BG14" i="3"/>
  <c r="AB14" i="3"/>
  <c r="AA14" i="3"/>
  <c r="BG13" i="3"/>
  <c r="AA13" i="3"/>
  <c r="BH12" i="3"/>
  <c r="BG12" i="3"/>
  <c r="AB12" i="3"/>
  <c r="AA12" i="3"/>
  <c r="I21" i="2"/>
  <c r="E21" i="2"/>
  <c r="I20" i="2"/>
  <c r="E20" i="2"/>
</calcChain>
</file>

<file path=xl/sharedStrings.xml><?xml version="1.0" encoding="utf-8"?>
<sst xmlns="http://schemas.openxmlformats.org/spreadsheetml/2006/main" count="214" uniqueCount="82">
  <si>
    <t>Jeeps</t>
  </si>
  <si>
    <t>Cars</t>
  </si>
  <si>
    <t>Taxis</t>
  </si>
  <si>
    <t>State:</t>
  </si>
  <si>
    <t xml:space="preserve"> Andhra Pradesh</t>
  </si>
  <si>
    <t xml:space="preserve"> Assam </t>
  </si>
  <si>
    <t xml:space="preserve"> Bihar </t>
  </si>
  <si>
    <t xml:space="preserve"> Gujarat</t>
  </si>
  <si>
    <t xml:space="preserve"> Karnataka</t>
  </si>
  <si>
    <t xml:space="preserve"> Kerala</t>
  </si>
  <si>
    <t xml:space="preserve"> Madhya Pradesh</t>
  </si>
  <si>
    <t xml:space="preserve"> Maharashtra</t>
  </si>
  <si>
    <t xml:space="preserve"> Nagaland</t>
  </si>
  <si>
    <t xml:space="preserve"> Orissa</t>
  </si>
  <si>
    <t xml:space="preserve"> Rajasthan</t>
  </si>
  <si>
    <t xml:space="preserve"> Sikkim</t>
  </si>
  <si>
    <t xml:space="preserve"> Tamil Nadu </t>
  </si>
  <si>
    <t xml:space="preserve"> Daman &amp; Diu</t>
  </si>
  <si>
    <t xml:space="preserve"> Delhi</t>
  </si>
  <si>
    <t xml:space="preserve"> Lakshadweep</t>
  </si>
  <si>
    <t>Goa</t>
  </si>
  <si>
    <t>Chhatisgarh</t>
  </si>
  <si>
    <t xml:space="preserve"> Himachal Pradesh</t>
  </si>
  <si>
    <t xml:space="preserve"> Jammu &amp; Kashmir</t>
  </si>
  <si>
    <t>Jharkhand</t>
  </si>
  <si>
    <t xml:space="preserve"> Mizoram</t>
  </si>
  <si>
    <t xml:space="preserve"> Punjab</t>
  </si>
  <si>
    <t>633900(b)</t>
  </si>
  <si>
    <t xml:space="preserve"> Haryana </t>
  </si>
  <si>
    <t>Uttar Pradesh</t>
  </si>
  <si>
    <t>West Bengal</t>
  </si>
  <si>
    <t xml:space="preserve"> Chandigarh</t>
  </si>
  <si>
    <t xml:space="preserve"> D. &amp; N. Haveli </t>
  </si>
  <si>
    <t>Source:  Transport Research Wing, Ministry of Surface Transport</t>
  </si>
  <si>
    <t xml:space="preserve"> Tripura</t>
  </si>
  <si>
    <t>Uttara Khand</t>
  </si>
  <si>
    <t>Puducherry</t>
  </si>
  <si>
    <t xml:space="preserve"> Meghalaya</t>
  </si>
  <si>
    <t>#</t>
  </si>
  <si>
    <t xml:space="preserve"> A. &amp; N. Islands</t>
  </si>
  <si>
    <t xml:space="preserve"> Manipur  </t>
  </si>
  <si>
    <t>-</t>
  </si>
  <si>
    <t xml:space="preserve">Table 20.1-NUMBER OF MOTOR VEHICLES REGISTERED IN INDIA </t>
  </si>
  <si>
    <t>^</t>
  </si>
  <si>
    <t>…</t>
  </si>
  <si>
    <t>(…)-Not reported</t>
  </si>
  <si>
    <t>(^ )-Included in Cars.</t>
  </si>
  <si>
    <t>Light Motor Vehicles(Passengers)</t>
  </si>
  <si>
    <t xml:space="preserve"> Year</t>
  </si>
  <si>
    <t>Two-Wheeler</t>
  </si>
  <si>
    <t>State /Union Territory</t>
  </si>
  <si>
    <r>
      <t>281995</t>
    </r>
    <r>
      <rPr>
        <vertAlign val="superscript"/>
        <sz val="10"/>
        <rFont val="Times New Roman"/>
        <family val="1"/>
      </rPr>
      <t>$</t>
    </r>
  </si>
  <si>
    <r>
      <t>7939</t>
    </r>
    <r>
      <rPr>
        <vertAlign val="superscript"/>
        <sz val="10"/>
        <color indexed="8"/>
        <rFont val="Times New Roman"/>
        <family val="1"/>
      </rPr>
      <t>#</t>
    </r>
  </si>
  <si>
    <r>
      <t>532</t>
    </r>
    <r>
      <rPr>
        <vertAlign val="superscript"/>
        <sz val="10"/>
        <rFont val="Times New Roman"/>
        <family val="1"/>
      </rPr>
      <t>^</t>
    </r>
  </si>
  <si>
    <r>
      <t>196</t>
    </r>
    <r>
      <rPr>
        <vertAlign val="superscript"/>
        <sz val="10"/>
        <rFont val="Times New Roman"/>
        <family val="1"/>
      </rPr>
      <t>#</t>
    </r>
  </si>
  <si>
    <r>
      <t>291438</t>
    </r>
    <r>
      <rPr>
        <b/>
        <vertAlign val="superscript"/>
        <sz val="10"/>
        <rFont val="Times New Roman"/>
        <family val="1"/>
      </rPr>
      <t>&amp;</t>
    </r>
  </si>
  <si>
    <t xml:space="preserve"> Arunachal Pradesh</t>
  </si>
  <si>
    <t xml:space="preserve">(&amp;) Includes Govt.Vehicles </t>
  </si>
  <si>
    <t xml:space="preserve">(#) Included in Tractors </t>
  </si>
  <si>
    <t>(b) Includes Omni buses/Tractors/Trailors/Others.</t>
  </si>
  <si>
    <t>Miscellaneous(b)</t>
  </si>
  <si>
    <t xml:space="preserve">Buses </t>
  </si>
  <si>
    <t>Goods Carrier Vehicles(a)</t>
  </si>
  <si>
    <t>(a) Include multi axled/Articulated Vehicles/Trucks and Lorries</t>
  </si>
  <si>
    <t>($) Included in multi axled/Articulated Vehicles/Trucks and Lorries</t>
  </si>
  <si>
    <t>Telangana</t>
  </si>
  <si>
    <t>TRANSPORT</t>
  </si>
  <si>
    <t>MOTOR VEHICLES</t>
  </si>
  <si>
    <t>333761&amp;</t>
  </si>
  <si>
    <t>Source:  Transport Research Wing Ministry of Surface Transport</t>
  </si>
  <si>
    <t>317917 &amp;</t>
  </si>
  <si>
    <t>NON-TRANSPORT</t>
  </si>
  <si>
    <t xml:space="preserve">Grand Total </t>
  </si>
  <si>
    <t xml:space="preserve">Grand Total (Transport+Non Transport) </t>
  </si>
  <si>
    <t>Two-wheelers</t>
  </si>
  <si>
    <t>Goods vehicles(a)</t>
  </si>
  <si>
    <t xml:space="preserve"> (TRANSPORT AND NON TRANSPORT as on 31st March )</t>
  </si>
  <si>
    <t>(in numbers)</t>
  </si>
  <si>
    <t>(a)Also include multi axled/Articulated Vehicles/Trucks and Lorries and light motor vehicles</t>
  </si>
  <si>
    <t>...</t>
  </si>
  <si>
    <t>&amp;</t>
  </si>
  <si>
    <t>380364 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</si>
</sst>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\-0\ "/>
  </numFmts>
  <fonts count="14" x14ac:knownFonts="1">
    <font>
      <sz val="10"/>
      <name val="Courie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vertAlign val="superscript"/>
      <sz val="10"/>
      <name val="Times New Roman"/>
      <family val="1"/>
    </font>
    <font>
      <vertAlign val="superscript"/>
      <sz val="10"/>
      <color indexed="8"/>
      <name val="Times New Roman"/>
      <family val="1"/>
    </font>
    <font>
      <b/>
      <vertAlign val="superscript"/>
      <sz val="10"/>
      <name val="Times New Roman"/>
      <family val="1"/>
    </font>
    <font>
      <sz val="10"/>
      <color rgb="FFFF0000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49">
    <xf numFmtId="0" fontId="0" fillId="0" borderId="0" xfId="0"/>
    <xf numFmtId="0" fontId="2" fillId="0" borderId="0" xfId="0" applyFont="1"/>
    <xf numFmtId="0" fontId="2" fillId="0" borderId="0" xfId="0" applyFont="1" applyFill="1" applyAlignment="1" applyProtection="1">
      <alignment horizontal="left"/>
    </xf>
    <xf numFmtId="0" fontId="2" fillId="0" borderId="0" xfId="0" applyFont="1" applyFill="1"/>
    <xf numFmtId="0" fontId="4" fillId="0" borderId="0" xfId="0" applyFont="1" applyFill="1"/>
    <xf numFmtId="0" fontId="5" fillId="0" borderId="0" xfId="0" applyFont="1" applyFill="1" applyAlignment="1" applyProtection="1">
      <alignment horizontal="left"/>
    </xf>
    <xf numFmtId="0" fontId="5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/>
    <xf numFmtId="0" fontId="2" fillId="0" borderId="0" xfId="0" applyNumberFormat="1" applyFont="1" applyFill="1" applyAlignment="1" applyProtection="1"/>
    <xf numFmtId="0" fontId="5" fillId="0" borderId="0" xfId="0" applyFont="1" applyFill="1" applyAlignment="1">
      <alignment horizontal="left"/>
    </xf>
    <xf numFmtId="0" fontId="2" fillId="0" borderId="0" xfId="0" applyNumberFormat="1" applyFont="1" applyFill="1" applyAlignment="1" applyProtection="1">
      <alignment horizontal="right"/>
    </xf>
    <xf numFmtId="0" fontId="5" fillId="0" borderId="0" xfId="0" applyNumberFormat="1" applyFont="1" applyFill="1" applyAlignment="1" applyProtection="1">
      <alignment horizontal="right"/>
    </xf>
    <xf numFmtId="0" fontId="7" fillId="0" borderId="0" xfId="0" applyNumberFormat="1" applyFont="1" applyFill="1" applyAlignment="1" applyProtection="1">
      <alignment horizontal="right"/>
    </xf>
    <xf numFmtId="0" fontId="2" fillId="0" borderId="1" xfId="0" applyFont="1" applyFill="1" applyBorder="1" applyAlignment="1" applyProtection="1">
      <alignment horizontal="fill"/>
    </xf>
    <xf numFmtId="37" fontId="2" fillId="0" borderId="0" xfId="0" applyNumberFormat="1" applyFont="1" applyFill="1" applyProtection="1"/>
    <xf numFmtId="0" fontId="6" fillId="0" borderId="0" xfId="0" applyNumberFormat="1" applyFont="1" applyFill="1" applyAlignment="1" applyProtection="1"/>
    <xf numFmtId="0" fontId="8" fillId="0" borderId="0" xfId="0" applyFont="1" applyFill="1"/>
    <xf numFmtId="0" fontId="2" fillId="0" borderId="0" xfId="0" quotePrefix="1" applyNumberFormat="1" applyFont="1" applyFill="1" applyAlignment="1" applyProtection="1">
      <alignment horizontal="right"/>
    </xf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right"/>
    </xf>
    <xf numFmtId="0" fontId="6" fillId="0" borderId="0" xfId="0" applyNumberFormat="1" applyFont="1" applyFill="1" applyBorder="1" applyAlignment="1" applyProtection="1"/>
    <xf numFmtId="0" fontId="6" fillId="0" borderId="0" xfId="0" quotePrefix="1" applyNumberFormat="1" applyFont="1" applyFill="1" applyAlignment="1" applyProtection="1">
      <alignment horizontal="right"/>
    </xf>
    <xf numFmtId="0" fontId="12" fillId="0" borderId="0" xfId="0" applyNumberFormat="1" applyFont="1" applyFill="1" applyAlignment="1" applyProtection="1"/>
    <xf numFmtId="0" fontId="12" fillId="0" borderId="0" xfId="0" applyNumberFormat="1" applyFont="1" applyFill="1" applyAlignment="1" applyProtection="1">
      <alignment horizontal="right"/>
    </xf>
    <xf numFmtId="0" fontId="13" fillId="0" borderId="0" xfId="0" applyNumberFormat="1" applyFont="1" applyFill="1" applyAlignment="1" applyProtection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0" fontId="5" fillId="0" borderId="2" xfId="0" applyFont="1" applyFill="1" applyBorder="1" applyAlignment="1" applyProtection="1">
      <alignment horizontal="right"/>
    </xf>
    <xf numFmtId="0" fontId="7" fillId="0" borderId="0" xfId="0" applyFont="1" applyFill="1" applyBorder="1"/>
    <xf numFmtId="0" fontId="6" fillId="0" borderId="0" xfId="0" applyFont="1" applyFill="1" applyBorder="1" applyAlignment="1" applyProtection="1">
      <alignment horizontal="left"/>
    </xf>
    <xf numFmtId="37" fontId="6" fillId="0" borderId="0" xfId="0" applyNumberFormat="1" applyFont="1" applyFill="1" applyBorder="1" applyAlignment="1" applyProtection="1">
      <alignment horizontal="right"/>
    </xf>
    <xf numFmtId="0" fontId="5" fillId="0" borderId="0" xfId="0" applyFont="1" applyFill="1" applyBorder="1" applyAlignment="1" applyProtection="1">
      <alignment horizontal="left"/>
    </xf>
    <xf numFmtId="0" fontId="7" fillId="2" borderId="1" xfId="0" applyFont="1" applyFill="1" applyBorder="1"/>
    <xf numFmtId="37" fontId="5" fillId="2" borderId="1" xfId="0" applyNumberFormat="1" applyFont="1" applyFill="1" applyBorder="1" applyAlignment="1" applyProtection="1">
      <alignment horizontal="right"/>
    </xf>
    <xf numFmtId="0" fontId="5" fillId="3" borderId="0" xfId="0" applyFont="1" applyFill="1" applyBorder="1" applyAlignment="1" applyProtection="1">
      <alignment horizontal="fill"/>
    </xf>
    <xf numFmtId="0" fontId="0" fillId="3" borderId="0" xfId="0" applyFill="1" applyBorder="1"/>
    <xf numFmtId="0" fontId="5" fillId="0" borderId="5" xfId="0" applyFont="1" applyFill="1" applyBorder="1" applyAlignment="1" applyProtection="1">
      <alignment horizontal="right"/>
    </xf>
    <xf numFmtId="0" fontId="5" fillId="0" borderId="5" xfId="0" applyFont="1" applyFill="1" applyBorder="1"/>
    <xf numFmtId="37" fontId="5" fillId="0" borderId="5" xfId="0" applyNumberFormat="1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fill"/>
    </xf>
    <xf numFmtId="0" fontId="0" fillId="0" borderId="0" xfId="0" applyFill="1"/>
    <xf numFmtId="0" fontId="5" fillId="0" borderId="0" xfId="0" applyFont="1" applyFill="1" applyBorder="1" applyAlignment="1">
      <alignment horizontal="right"/>
    </xf>
    <xf numFmtId="0" fontId="0" fillId="0" borderId="1" xfId="0" applyFill="1" applyBorder="1"/>
    <xf numFmtId="0" fontId="0" fillId="0" borderId="0" xfId="0" applyFill="1" applyBorder="1"/>
    <xf numFmtId="0" fontId="2" fillId="2" borderId="6" xfId="0" applyFont="1" applyFill="1" applyBorder="1" applyAlignment="1" applyProtection="1">
      <alignment horizontal="left"/>
    </xf>
    <xf numFmtId="0" fontId="2" fillId="2" borderId="7" xfId="0" applyFont="1" applyFill="1" applyBorder="1"/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/>
    <xf numFmtId="0" fontId="4" fillId="2" borderId="9" xfId="0" applyFont="1" applyFill="1" applyBorder="1"/>
    <xf numFmtId="0" fontId="4" fillId="2" borderId="0" xfId="0" applyFont="1" applyFill="1" applyBorder="1"/>
    <xf numFmtId="0" fontId="4" fillId="2" borderId="10" xfId="0" applyFont="1" applyFill="1" applyBorder="1"/>
    <xf numFmtId="0" fontId="7" fillId="2" borderId="11" xfId="0" applyFont="1" applyFill="1" applyBorder="1"/>
    <xf numFmtId="37" fontId="5" fillId="2" borderId="12" xfId="0" applyNumberFormat="1" applyFont="1" applyFill="1" applyBorder="1" applyAlignment="1" applyProtection="1">
      <alignment horizontal="right"/>
    </xf>
    <xf numFmtId="0" fontId="5" fillId="2" borderId="9" xfId="0" applyFont="1" applyFill="1" applyBorder="1" applyAlignment="1" applyProtection="1">
      <alignment horizontal="center"/>
    </xf>
    <xf numFmtId="0" fontId="0" fillId="3" borderId="10" xfId="0" applyFill="1" applyBorder="1"/>
    <xf numFmtId="0" fontId="2" fillId="2" borderId="9" xfId="0" applyFont="1" applyFill="1" applyBorder="1" applyAlignment="1" applyProtection="1">
      <alignment horizontal="left"/>
    </xf>
    <xf numFmtId="0" fontId="5" fillId="4" borderId="10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3" fillId="2" borderId="0" xfId="0" applyFont="1" applyFill="1" applyBorder="1" applyAlignment="1" applyProtection="1"/>
    <xf numFmtId="0" fontId="6" fillId="2" borderId="0" xfId="0" applyFont="1" applyFill="1" applyBorder="1" applyAlignment="1" applyProtection="1"/>
    <xf numFmtId="0" fontId="0" fillId="2" borderId="9" xfId="0" applyFill="1" applyBorder="1"/>
    <xf numFmtId="0" fontId="5" fillId="5" borderId="2" xfId="0" applyFont="1" applyFill="1" applyBorder="1" applyAlignment="1" applyProtection="1"/>
    <xf numFmtId="0" fontId="2" fillId="5" borderId="0" xfId="0" applyFont="1" applyFill="1" applyBorder="1"/>
    <xf numFmtId="0" fontId="2" fillId="5" borderId="0" xfId="0" applyFont="1" applyFill="1" applyBorder="1" applyAlignment="1"/>
    <xf numFmtId="0" fontId="0" fillId="5" borderId="15" xfId="0" applyFill="1" applyBorder="1"/>
    <xf numFmtId="0" fontId="0" fillId="5" borderId="0" xfId="0" applyFill="1" applyBorder="1"/>
    <xf numFmtId="0" fontId="5" fillId="2" borderId="9" xfId="0" applyFont="1" applyFill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/>
    <xf numFmtId="0" fontId="0" fillId="5" borderId="16" xfId="0" applyFill="1" applyBorder="1"/>
    <xf numFmtId="0" fontId="0" fillId="5" borderId="17" xfId="0" applyFill="1" applyBorder="1"/>
    <xf numFmtId="0" fontId="3" fillId="2" borderId="0" xfId="0" applyFont="1" applyFill="1" applyBorder="1" applyAlignment="1" applyProtection="1">
      <alignment horizontal="left"/>
    </xf>
    <xf numFmtId="0" fontId="6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/>
    </xf>
    <xf numFmtId="0" fontId="0" fillId="2" borderId="0" xfId="0" applyFill="1" applyBorder="1"/>
    <xf numFmtId="0" fontId="0" fillId="2" borderId="1" xfId="0" applyFill="1" applyBorder="1"/>
    <xf numFmtId="0" fontId="5" fillId="2" borderId="11" xfId="0" applyFont="1" applyFill="1" applyBorder="1" applyAlignment="1" applyProtection="1">
      <alignment horizontal="center"/>
    </xf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NumberFormat="1" applyFont="1" applyFill="1" applyBorder="1" applyAlignment="1" applyProtection="1">
      <alignment horizontal="center"/>
    </xf>
    <xf numFmtId="0" fontId="5" fillId="2" borderId="23" xfId="0" applyFont="1" applyFill="1" applyBorder="1" applyAlignment="1" applyProtection="1">
      <alignment horizontal="center"/>
    </xf>
    <xf numFmtId="37" fontId="5" fillId="2" borderId="23" xfId="0" applyNumberFormat="1" applyFont="1" applyFill="1" applyBorder="1" applyAlignment="1" applyProtection="1">
      <alignment horizontal="center"/>
    </xf>
    <xf numFmtId="37" fontId="5" fillId="2" borderId="23" xfId="0" quotePrefix="1" applyNumberFormat="1" applyFont="1" applyFill="1" applyBorder="1" applyAlignment="1" applyProtection="1">
      <alignment horizontal="center"/>
    </xf>
    <xf numFmtId="0" fontId="5" fillId="5" borderId="0" xfId="0" applyFont="1" applyFill="1" applyBorder="1" applyAlignment="1" applyProtection="1"/>
    <xf numFmtId="0" fontId="3" fillId="2" borderId="9" xfId="0" applyFont="1" applyFill="1" applyBorder="1" applyAlignment="1" applyProtection="1"/>
    <xf numFmtId="0" fontId="3" fillId="2" borderId="10" xfId="0" applyFont="1" applyFill="1" applyBorder="1" applyAlignment="1" applyProtection="1"/>
    <xf numFmtId="0" fontId="6" fillId="2" borderId="9" xfId="0" applyFont="1" applyFill="1" applyBorder="1" applyAlignment="1" applyProtection="1"/>
    <xf numFmtId="0" fontId="6" fillId="2" borderId="10" xfId="0" applyFont="1" applyFill="1" applyBorder="1" applyAlignment="1" applyProtection="1"/>
    <xf numFmtId="0" fontId="6" fillId="2" borderId="1" xfId="0" applyFont="1" applyFill="1" applyBorder="1" applyAlignment="1" applyProtection="1"/>
    <xf numFmtId="0" fontId="5" fillId="2" borderId="14" xfId="0" applyFont="1" applyFill="1" applyBorder="1" applyAlignment="1" applyProtection="1">
      <alignment vertical="center"/>
    </xf>
    <xf numFmtId="0" fontId="2" fillId="3" borderId="1" xfId="0" applyFont="1" applyFill="1" applyBorder="1" applyAlignment="1">
      <alignment horizontal="center"/>
    </xf>
    <xf numFmtId="0" fontId="5" fillId="5" borderId="9" xfId="0" applyFont="1" applyFill="1" applyBorder="1" applyAlignment="1" applyProtection="1">
      <alignment horizontal="left"/>
    </xf>
    <xf numFmtId="0" fontId="5" fillId="5" borderId="2" xfId="0" applyFont="1" applyFill="1" applyBorder="1" applyAlignment="1" applyProtection="1">
      <alignment horizontal="left"/>
    </xf>
    <xf numFmtId="0" fontId="2" fillId="5" borderId="9" xfId="0" applyFont="1" applyFill="1" applyBorder="1" applyAlignment="1" applyProtection="1">
      <alignment horizontal="left"/>
    </xf>
    <xf numFmtId="0" fontId="2" fillId="5" borderId="0" xfId="0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2" fillId="5" borderId="0" xfId="0" applyFont="1" applyFill="1" applyBorder="1" applyAlignment="1" applyProtection="1"/>
    <xf numFmtId="164" fontId="2" fillId="5" borderId="0" xfId="0" applyNumberFormat="1" applyFont="1" applyFill="1" applyBorder="1" applyAlignment="1" applyProtection="1"/>
    <xf numFmtId="0" fontId="2" fillId="5" borderId="0" xfId="0" applyFont="1" applyFill="1" applyBorder="1" applyAlignment="1" applyProtection="1">
      <alignment horizontal="left"/>
    </xf>
    <xf numFmtId="0" fontId="8" fillId="5" borderId="0" xfId="0" applyFont="1" applyFill="1" applyBorder="1" applyAlignment="1">
      <alignment horizontal="left"/>
    </xf>
    <xf numFmtId="37" fontId="2" fillId="5" borderId="0" xfId="0" applyNumberFormat="1" applyFont="1" applyFill="1" applyBorder="1" applyAlignment="1" applyProtection="1">
      <alignment horizontal="left"/>
    </xf>
    <xf numFmtId="0" fontId="0" fillId="2" borderId="7" xfId="0" applyFill="1" applyBorder="1"/>
    <xf numFmtId="0" fontId="5" fillId="2" borderId="11" xfId="0" applyFont="1" applyFill="1" applyBorder="1" applyAlignment="1">
      <alignment horizontal="left"/>
    </xf>
    <xf numFmtId="0" fontId="5" fillId="2" borderId="23" xfId="0" applyFont="1" applyFill="1" applyBorder="1" applyAlignment="1">
      <alignment horizontal="center"/>
    </xf>
    <xf numFmtId="0" fontId="5" fillId="2" borderId="23" xfId="0" applyNumberFormat="1" applyFont="1" applyFill="1" applyBorder="1" applyAlignment="1" applyProtection="1">
      <alignment horizontal="center"/>
    </xf>
    <xf numFmtId="0" fontId="5" fillId="2" borderId="25" xfId="0" applyFont="1" applyFill="1" applyBorder="1" applyAlignment="1" applyProtection="1">
      <alignment horizontal="center"/>
    </xf>
    <xf numFmtId="0" fontId="5" fillId="2" borderId="28" xfId="0" applyFont="1" applyFill="1" applyBorder="1" applyAlignment="1" applyProtection="1">
      <alignment horizontal="center"/>
    </xf>
    <xf numFmtId="0" fontId="6" fillId="2" borderId="21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4" xfId="0" applyNumberFormat="1" applyFont="1" applyFill="1" applyBorder="1" applyAlignment="1" applyProtection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21" xfId="0" applyFont="1" applyFill="1" applyBorder="1" applyAlignment="1" applyProtection="1">
      <alignment horizontal="center"/>
    </xf>
    <xf numFmtId="0" fontId="7" fillId="2" borderId="0" xfId="0" applyFont="1" applyFill="1" applyBorder="1"/>
    <xf numFmtId="0" fontId="5" fillId="2" borderId="30" xfId="0" applyFont="1" applyFill="1" applyBorder="1" applyAlignment="1" applyProtection="1">
      <alignment horizontal="center" vertical="center"/>
    </xf>
    <xf numFmtId="0" fontId="2" fillId="3" borderId="30" xfId="0" applyFont="1" applyFill="1" applyBorder="1" applyAlignment="1">
      <alignment horizontal="center"/>
    </xf>
    <xf numFmtId="0" fontId="2" fillId="4" borderId="30" xfId="0" applyNumberFormat="1" applyFont="1" applyFill="1" applyBorder="1" applyAlignment="1" applyProtection="1">
      <alignment horizontal="center"/>
    </xf>
    <xf numFmtId="0" fontId="2" fillId="3" borderId="29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19" xfId="0" applyNumberFormat="1" applyFont="1" applyFill="1" applyBorder="1" applyAlignment="1" applyProtection="1">
      <alignment horizontal="center"/>
    </xf>
    <xf numFmtId="0" fontId="2" fillId="3" borderId="19" xfId="0" applyFont="1" applyFill="1" applyBorder="1" applyAlignment="1">
      <alignment horizontal="center"/>
    </xf>
    <xf numFmtId="0" fontId="5" fillId="2" borderId="21" xfId="0" applyNumberFormat="1" applyFont="1" applyFill="1" applyBorder="1" applyAlignment="1" applyProtection="1">
      <alignment horizontal="center"/>
    </xf>
    <xf numFmtId="37" fontId="5" fillId="2" borderId="19" xfId="0" applyNumberFormat="1" applyFont="1" applyFill="1" applyBorder="1" applyAlignment="1" applyProtection="1">
      <alignment horizontal="center"/>
    </xf>
    <xf numFmtId="37" fontId="5" fillId="2" borderId="21" xfId="0" applyNumberFormat="1" applyFont="1" applyFill="1" applyBorder="1" applyAlignment="1" applyProtection="1">
      <alignment horizontal="center"/>
    </xf>
    <xf numFmtId="0" fontId="5" fillId="2" borderId="19" xfId="0" applyFont="1" applyFill="1" applyBorder="1" applyAlignment="1" applyProtection="1">
      <alignment horizontal="center"/>
    </xf>
    <xf numFmtId="0" fontId="0" fillId="2" borderId="2" xfId="0" applyFill="1" applyBorder="1"/>
    <xf numFmtId="0" fontId="2" fillId="3" borderId="2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5" xfId="0" applyFont="1" applyFill="1" applyBorder="1" applyAlignment="1" applyProtection="1">
      <alignment horizontal="center" vertical="center"/>
    </xf>
    <xf numFmtId="0" fontId="5" fillId="2" borderId="20" xfId="0" applyFont="1" applyFill="1" applyBorder="1" applyAlignment="1" applyProtection="1">
      <alignment horizontal="center" vertical="center" wrapText="1"/>
    </xf>
    <xf numFmtId="0" fontId="5" fillId="2" borderId="22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right"/>
    </xf>
    <xf numFmtId="0" fontId="5" fillId="2" borderId="23" xfId="0" applyFont="1" applyFill="1" applyBorder="1" applyAlignment="1" applyProtection="1">
      <alignment horizontal="center" vertical="top" wrapText="1"/>
    </xf>
    <xf numFmtId="0" fontId="5" fillId="2" borderId="23" xfId="0" applyFont="1" applyFill="1" applyBorder="1" applyAlignment="1" applyProtection="1">
      <alignment horizontal="center" vertical="center"/>
    </xf>
    <xf numFmtId="0" fontId="5" fillId="2" borderId="23" xfId="0" applyFont="1" applyFill="1" applyBorder="1" applyAlignment="1" applyProtection="1">
      <alignment horizontal="center" vertical="center" wrapText="1"/>
    </xf>
    <xf numFmtId="0" fontId="6" fillId="2" borderId="26" xfId="0" applyFont="1" applyFill="1" applyBorder="1" applyAlignment="1" applyProtection="1">
      <alignment horizontal="center" vertical="center"/>
    </xf>
    <xf numFmtId="0" fontId="6" fillId="2" borderId="27" xfId="0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5" fillId="2" borderId="24" xfId="0" applyFont="1" applyFill="1" applyBorder="1" applyAlignment="1" applyProtection="1">
      <alignment horizontal="center" vertical="center" wrapText="1"/>
    </xf>
    <xf numFmtId="0" fontId="5" fillId="2" borderId="13" xfId="0" applyFont="1" applyFill="1" applyBorder="1" applyAlignment="1" applyProtection="1">
      <alignment horizontal="center" vertical="center" wrapText="1"/>
    </xf>
    <xf numFmtId="0" fontId="6" fillId="2" borderId="4" xfId="0" applyFont="1" applyFill="1" applyBorder="1" applyAlignment="1">
      <alignment horizontal="center"/>
    </xf>
    <xf numFmtId="0" fontId="5" fillId="2" borderId="18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D152"/>
  <sheetViews>
    <sheetView view="pageBreakPreview" zoomScaleSheetLayoutView="100" workbookViewId="0">
      <selection activeCell="K15" sqref="K15"/>
    </sheetView>
  </sheetViews>
  <sheetFormatPr defaultRowHeight="12" x14ac:dyDescent="0.2"/>
  <cols>
    <col min="1" max="1" width="13" customWidth="1"/>
    <col min="2" max="10" width="13.44140625" customWidth="1"/>
    <col min="11" max="11" width="15.6640625" customWidth="1"/>
    <col min="12" max="14" width="10.88671875" customWidth="1"/>
    <col min="15" max="17" width="11" customWidth="1"/>
    <col min="18" max="18" width="9.109375" bestFit="1" customWidth="1"/>
    <col min="19" max="20" width="9.109375" customWidth="1"/>
    <col min="36" max="38" width="11.21875" customWidth="1"/>
  </cols>
  <sheetData>
    <row r="1" spans="1:56" ht="13.2" x14ac:dyDescent="0.25">
      <c r="A1" s="46"/>
      <c r="B1" s="47"/>
      <c r="C1" s="47"/>
      <c r="D1" s="47"/>
      <c r="E1" s="47"/>
      <c r="F1" s="47"/>
      <c r="G1" s="47"/>
      <c r="H1" s="47"/>
      <c r="I1" s="48"/>
      <c r="J1" s="49"/>
      <c r="AM1" s="3"/>
      <c r="AN1" s="3"/>
      <c r="AO1" s="3"/>
      <c r="AP1" s="3"/>
      <c r="AQ1" s="3"/>
    </row>
    <row r="2" spans="1:56" ht="15.6" x14ac:dyDescent="0.3">
      <c r="A2" s="87"/>
      <c r="B2" s="73" t="s">
        <v>67</v>
      </c>
      <c r="C2" s="60"/>
      <c r="D2" s="60"/>
      <c r="E2" s="60"/>
      <c r="F2" s="60"/>
      <c r="G2" s="60"/>
      <c r="H2" s="60"/>
      <c r="I2" s="60"/>
      <c r="J2" s="88"/>
      <c r="AM2" s="27"/>
      <c r="AN2" s="27"/>
      <c r="AO2" s="27"/>
      <c r="AP2" s="27"/>
      <c r="AQ2" s="27"/>
    </row>
    <row r="3" spans="1:56" ht="15.6" x14ac:dyDescent="0.3">
      <c r="A3" s="50"/>
      <c r="B3" s="51"/>
      <c r="C3" s="51"/>
      <c r="D3" s="51"/>
      <c r="E3" s="51"/>
      <c r="F3" s="51"/>
      <c r="G3" s="51"/>
      <c r="H3" s="51"/>
      <c r="I3" s="51"/>
      <c r="J3" s="52"/>
      <c r="AM3" s="4"/>
      <c r="AN3" s="4"/>
      <c r="AO3" s="4"/>
      <c r="AP3" s="4"/>
      <c r="AQ3" s="4"/>
    </row>
    <row r="4" spans="1:56" ht="15.6" x14ac:dyDescent="0.3">
      <c r="A4" s="87"/>
      <c r="B4" s="73" t="s">
        <v>42</v>
      </c>
      <c r="C4" s="60"/>
      <c r="D4" s="60"/>
      <c r="E4" s="60"/>
      <c r="F4" s="60"/>
      <c r="G4" s="60"/>
      <c r="H4" s="60"/>
      <c r="I4" s="60"/>
      <c r="J4" s="88"/>
      <c r="AM4" s="27"/>
      <c r="AN4" s="27"/>
      <c r="AO4" s="27"/>
      <c r="AP4" s="27"/>
      <c r="AQ4" s="27"/>
    </row>
    <row r="5" spans="1:56" ht="13.8" x14ac:dyDescent="0.25">
      <c r="A5" s="89"/>
      <c r="B5" s="74" t="s">
        <v>76</v>
      </c>
      <c r="C5" s="61"/>
      <c r="D5" s="61"/>
      <c r="E5" s="61"/>
      <c r="F5" s="61"/>
      <c r="G5" s="61"/>
      <c r="H5" s="61"/>
      <c r="I5" s="61"/>
      <c r="J5" s="90"/>
      <c r="AM5" s="28"/>
      <c r="AN5" s="28"/>
      <c r="AO5" s="28"/>
      <c r="AP5" s="28"/>
      <c r="AQ5" s="28"/>
    </row>
    <row r="6" spans="1:56" ht="13.8" x14ac:dyDescent="0.25">
      <c r="A6" s="53"/>
      <c r="B6" s="34"/>
      <c r="C6" s="91"/>
      <c r="D6" s="91"/>
      <c r="E6" s="91"/>
      <c r="F6" s="91"/>
      <c r="G6" s="91"/>
      <c r="H6" s="91"/>
      <c r="I6" s="35"/>
      <c r="J6" s="54"/>
      <c r="AM6" s="31"/>
      <c r="AN6" s="30"/>
      <c r="AO6" s="30"/>
      <c r="AP6" s="30"/>
      <c r="AQ6" s="32"/>
    </row>
    <row r="7" spans="1:56" ht="25.5" customHeight="1" x14ac:dyDescent="0.25">
      <c r="A7" s="132" t="s">
        <v>48</v>
      </c>
      <c r="B7" s="137" t="s">
        <v>61</v>
      </c>
      <c r="C7" s="137" t="s">
        <v>2</v>
      </c>
      <c r="D7" s="136" t="s">
        <v>47</v>
      </c>
      <c r="E7" s="133" t="s">
        <v>75</v>
      </c>
      <c r="F7" s="138" t="s">
        <v>74</v>
      </c>
      <c r="G7" s="137" t="s">
        <v>1</v>
      </c>
      <c r="H7" s="137" t="s">
        <v>0</v>
      </c>
      <c r="I7" s="138" t="s">
        <v>60</v>
      </c>
      <c r="J7" s="139" t="s">
        <v>72</v>
      </c>
      <c r="AM7" s="38"/>
    </row>
    <row r="8" spans="1:56" ht="14.25" customHeight="1" x14ac:dyDescent="0.25">
      <c r="A8" s="132"/>
      <c r="B8" s="137"/>
      <c r="C8" s="137"/>
      <c r="D8" s="136"/>
      <c r="E8" s="134"/>
      <c r="F8" s="138"/>
      <c r="G8" s="137"/>
      <c r="H8" s="137"/>
      <c r="I8" s="138"/>
      <c r="J8" s="140"/>
      <c r="AM8" s="39"/>
    </row>
    <row r="9" spans="1:56" ht="13.2" x14ac:dyDescent="0.25">
      <c r="A9" s="108">
        <v>1</v>
      </c>
      <c r="B9" s="84">
        <v>2</v>
      </c>
      <c r="C9" s="85">
        <v>3</v>
      </c>
      <c r="D9" s="83">
        <v>4</v>
      </c>
      <c r="E9" s="84">
        <v>5</v>
      </c>
      <c r="F9" s="85">
        <v>6</v>
      </c>
      <c r="G9" s="83">
        <v>7</v>
      </c>
      <c r="H9" s="84">
        <v>8</v>
      </c>
      <c r="I9" s="85">
        <v>9</v>
      </c>
      <c r="J9" s="109">
        <v>10</v>
      </c>
      <c r="AM9" s="40"/>
    </row>
    <row r="10" spans="1:56" ht="13.2" x14ac:dyDescent="0.25">
      <c r="A10" s="55"/>
      <c r="B10" s="37"/>
      <c r="C10" s="36"/>
      <c r="D10" s="36"/>
      <c r="E10" s="37"/>
      <c r="F10" s="36"/>
      <c r="G10" s="36"/>
      <c r="H10" s="36"/>
      <c r="I10" s="37"/>
      <c r="J10" s="56"/>
      <c r="AM10" s="8"/>
      <c r="AN10" s="8"/>
      <c r="AO10" s="8"/>
      <c r="AP10" s="8"/>
      <c r="AQ10" s="8"/>
      <c r="AR10" s="8"/>
      <c r="AS10" s="8"/>
      <c r="AT10" s="8"/>
      <c r="AU10" s="8"/>
      <c r="AV10" s="6"/>
      <c r="AW10" s="6"/>
      <c r="AX10" s="6"/>
      <c r="AY10" s="6"/>
      <c r="AZ10" s="6"/>
      <c r="BA10" s="6"/>
      <c r="BB10" s="6"/>
      <c r="BC10" s="6"/>
      <c r="BD10" s="6"/>
    </row>
    <row r="11" spans="1:56" ht="13.8" x14ac:dyDescent="0.25">
      <c r="A11" s="68">
        <v>2001</v>
      </c>
      <c r="B11" s="80" t="s">
        <v>27</v>
      </c>
      <c r="C11" s="80">
        <v>634357</v>
      </c>
      <c r="D11" s="80">
        <v>1777130</v>
      </c>
      <c r="E11" s="80">
        <v>2948300</v>
      </c>
      <c r="F11" s="80">
        <v>38556026</v>
      </c>
      <c r="G11" s="80">
        <v>5297219</v>
      </c>
      <c r="H11" s="80">
        <v>1126148</v>
      </c>
      <c r="I11" s="80">
        <v>4017946</v>
      </c>
      <c r="J11" s="58">
        <v>54991026</v>
      </c>
      <c r="AM11" s="19"/>
      <c r="AN11" s="19"/>
      <c r="AO11" s="19"/>
      <c r="AP11" s="19"/>
      <c r="AQ11" s="19"/>
      <c r="AR11" s="20"/>
      <c r="AS11" s="19"/>
      <c r="AT11" s="19"/>
      <c r="AU11" s="21"/>
      <c r="AV11" s="19"/>
      <c r="AW11" s="19"/>
      <c r="AX11" s="19"/>
      <c r="AY11" s="19"/>
      <c r="AZ11" s="19"/>
      <c r="BA11" s="20"/>
      <c r="BB11" s="19"/>
      <c r="BC11" s="19"/>
      <c r="BD11" s="21"/>
    </row>
    <row r="12" spans="1:56" ht="13.8" x14ac:dyDescent="0.25">
      <c r="A12" s="68">
        <v>2002</v>
      </c>
      <c r="B12" s="81">
        <v>635006</v>
      </c>
      <c r="C12" s="81">
        <v>688204</v>
      </c>
      <c r="D12" s="81">
        <v>1878261</v>
      </c>
      <c r="E12" s="81">
        <v>2973740</v>
      </c>
      <c r="F12" s="81">
        <v>41581058</v>
      </c>
      <c r="G12" s="81">
        <v>5748036</v>
      </c>
      <c r="H12" s="81">
        <v>1177245</v>
      </c>
      <c r="I12" s="81">
        <v>4242787</v>
      </c>
      <c r="J12" s="59">
        <v>58924337</v>
      </c>
      <c r="AM12" s="9"/>
      <c r="AN12" s="9"/>
      <c r="AO12" s="9"/>
      <c r="AP12" s="9"/>
      <c r="AQ12" s="9"/>
      <c r="AR12" s="11"/>
      <c r="AS12" s="9"/>
      <c r="AT12" s="9"/>
      <c r="AU12" s="16"/>
      <c r="AV12" s="9"/>
      <c r="AW12" s="9"/>
      <c r="AX12" s="9"/>
      <c r="AY12" s="9"/>
      <c r="AZ12" s="9"/>
      <c r="BA12" s="11"/>
      <c r="BB12" s="9"/>
      <c r="BC12" s="9"/>
      <c r="BD12" s="16"/>
    </row>
    <row r="13" spans="1:56" ht="13.8" x14ac:dyDescent="0.25">
      <c r="A13" s="68">
        <v>2003</v>
      </c>
      <c r="B13" s="80">
        <v>720696</v>
      </c>
      <c r="C13" s="80">
        <v>825416</v>
      </c>
      <c r="D13" s="80">
        <v>2113781</v>
      </c>
      <c r="E13" s="80">
        <v>3491637</v>
      </c>
      <c r="F13" s="80">
        <v>47519489</v>
      </c>
      <c r="G13" s="80">
        <v>6594166</v>
      </c>
      <c r="H13" s="80">
        <v>1180057</v>
      </c>
      <c r="I13" s="80">
        <v>4562042</v>
      </c>
      <c r="J13" s="58">
        <v>67007284</v>
      </c>
      <c r="AM13" s="11"/>
      <c r="AN13" s="11"/>
      <c r="AO13" s="11"/>
      <c r="AP13" s="11"/>
      <c r="AQ13" s="11"/>
      <c r="AR13" s="11"/>
      <c r="AS13" s="9"/>
      <c r="AT13" s="9"/>
      <c r="AU13" s="16"/>
      <c r="AV13" s="11"/>
      <c r="AW13" s="11"/>
      <c r="AX13" s="11"/>
      <c r="AY13" s="11"/>
      <c r="AZ13" s="11"/>
      <c r="BA13" s="11"/>
      <c r="BB13" s="11"/>
      <c r="BC13" s="11"/>
      <c r="BD13" s="16"/>
    </row>
    <row r="14" spans="1:56" ht="13.8" x14ac:dyDescent="0.25">
      <c r="A14" s="68">
        <v>2004</v>
      </c>
      <c r="B14" s="81">
        <v>767593</v>
      </c>
      <c r="C14" s="81">
        <v>901889</v>
      </c>
      <c r="D14" s="81">
        <v>2167324</v>
      </c>
      <c r="E14" s="81">
        <v>3748484</v>
      </c>
      <c r="F14" s="81">
        <v>51921973</v>
      </c>
      <c r="G14" s="81">
        <v>7267174</v>
      </c>
      <c r="H14" s="81">
        <v>1282113</v>
      </c>
      <c r="I14" s="81">
        <v>4661385</v>
      </c>
      <c r="J14" s="59">
        <v>72717935</v>
      </c>
      <c r="AM14" s="9"/>
      <c r="AN14" s="9"/>
      <c r="AO14" s="9"/>
      <c r="AP14" s="9"/>
      <c r="AQ14" s="9"/>
      <c r="AR14" s="11"/>
      <c r="AS14" s="9"/>
      <c r="AT14" s="9"/>
      <c r="AU14" s="16"/>
      <c r="AV14" s="9"/>
      <c r="AW14" s="9"/>
      <c r="AX14" s="9"/>
      <c r="AY14" s="9"/>
      <c r="AZ14" s="9"/>
      <c r="BA14" s="11"/>
      <c r="BB14" s="9"/>
      <c r="BC14" s="9"/>
      <c r="BD14" s="16"/>
    </row>
    <row r="15" spans="1:56" ht="13.8" x14ac:dyDescent="0.25">
      <c r="A15" s="68">
        <v>2005</v>
      </c>
      <c r="B15" s="80">
        <v>678521</v>
      </c>
      <c r="C15" s="82">
        <v>939738</v>
      </c>
      <c r="D15" s="82">
        <v>2337264</v>
      </c>
      <c r="E15" s="80">
        <v>3877622</v>
      </c>
      <c r="F15" s="82">
        <v>58799702</v>
      </c>
      <c r="G15" s="82">
        <v>8072650</v>
      </c>
      <c r="H15" s="82">
        <v>1307926</v>
      </c>
      <c r="I15" s="80">
        <v>5488296</v>
      </c>
      <c r="J15" s="58">
        <v>81501719</v>
      </c>
      <c r="AM15" s="9"/>
      <c r="AN15" s="18"/>
      <c r="AO15" s="11"/>
      <c r="AP15" s="9"/>
      <c r="AQ15" s="9"/>
      <c r="AR15" s="11"/>
      <c r="AS15" s="9"/>
      <c r="AT15" s="9"/>
      <c r="AU15" s="16"/>
      <c r="AV15" s="9"/>
      <c r="AW15" s="18"/>
      <c r="AX15" s="11"/>
      <c r="AY15" s="9"/>
      <c r="AZ15" s="9"/>
      <c r="BA15" s="11"/>
      <c r="BB15" s="9"/>
      <c r="BC15" s="9"/>
      <c r="BD15" s="16"/>
    </row>
    <row r="16" spans="1:56" ht="13.8" x14ac:dyDescent="0.25">
      <c r="A16" s="68">
        <v>2006</v>
      </c>
      <c r="B16" s="81">
        <v>762341</v>
      </c>
      <c r="C16" s="81">
        <v>1039845</v>
      </c>
      <c r="D16" s="81">
        <v>2492726</v>
      </c>
      <c r="E16" s="81">
        <v>4274984</v>
      </c>
      <c r="F16" s="81">
        <v>64743126</v>
      </c>
      <c r="G16" s="81">
        <v>9109855</v>
      </c>
      <c r="H16" s="81">
        <v>1376744</v>
      </c>
      <c r="I16" s="81">
        <v>5818646</v>
      </c>
      <c r="J16" s="59">
        <v>89618267</v>
      </c>
      <c r="AM16" s="9"/>
      <c r="AN16" s="9"/>
      <c r="AO16" s="9"/>
      <c r="AP16" s="9"/>
      <c r="AQ16" s="9"/>
      <c r="AR16" s="11"/>
      <c r="AS16" s="9"/>
      <c r="AT16" s="3"/>
      <c r="AU16" s="16"/>
      <c r="AV16" s="9"/>
      <c r="AW16" s="9"/>
      <c r="AX16" s="9"/>
      <c r="AY16" s="9"/>
      <c r="AZ16" s="9"/>
      <c r="BA16" s="11"/>
      <c r="BB16" s="9"/>
      <c r="BC16" s="9"/>
      <c r="BD16" s="16"/>
    </row>
    <row r="17" spans="1:56" ht="13.8" x14ac:dyDescent="0.25">
      <c r="A17" s="68">
        <v>2007</v>
      </c>
      <c r="B17" s="80">
        <v>1098422</v>
      </c>
      <c r="C17" s="80">
        <v>1042347</v>
      </c>
      <c r="D17" s="80">
        <v>2697449</v>
      </c>
      <c r="E17" s="80">
        <v>5118880</v>
      </c>
      <c r="F17" s="80">
        <v>69128762</v>
      </c>
      <c r="G17" s="80">
        <v>10146468</v>
      </c>
      <c r="H17" s="80">
        <v>1460364</v>
      </c>
      <c r="I17" s="80">
        <v>6014568</v>
      </c>
      <c r="J17" s="58">
        <v>96707260</v>
      </c>
      <c r="AM17" s="11"/>
      <c r="AN17" s="11"/>
      <c r="AO17" s="11"/>
      <c r="AP17" s="9"/>
      <c r="AQ17" s="9"/>
      <c r="AR17" s="11"/>
      <c r="AS17" s="9"/>
      <c r="AT17" s="9"/>
      <c r="AU17" s="16"/>
      <c r="AV17" s="11"/>
      <c r="AW17" s="11"/>
      <c r="AX17" s="11"/>
      <c r="AY17" s="9"/>
      <c r="AZ17" s="9"/>
      <c r="BA17" s="24"/>
      <c r="BB17" s="23"/>
      <c r="BC17" s="23"/>
      <c r="BD17" s="25"/>
    </row>
    <row r="18" spans="1:56" ht="13.8" x14ac:dyDescent="0.25">
      <c r="A18" s="68">
        <v>2008</v>
      </c>
      <c r="B18" s="81">
        <v>1156568</v>
      </c>
      <c r="C18" s="81">
        <v>1201862</v>
      </c>
      <c r="D18" s="81">
        <v>2903821</v>
      </c>
      <c r="E18" s="81">
        <v>5600938</v>
      </c>
      <c r="F18" s="81">
        <v>75336026</v>
      </c>
      <c r="G18" s="81">
        <v>11200142</v>
      </c>
      <c r="H18" s="81">
        <v>1547825</v>
      </c>
      <c r="I18" s="81">
        <v>6405672</v>
      </c>
      <c r="J18" s="59">
        <v>105353854</v>
      </c>
      <c r="AM18" s="9"/>
      <c r="AN18" s="9"/>
      <c r="AO18" s="9"/>
      <c r="AP18" s="9"/>
      <c r="AQ18" s="9"/>
      <c r="AR18" s="11"/>
      <c r="AS18" s="9"/>
      <c r="AT18" s="9"/>
      <c r="AU18" s="16"/>
      <c r="AV18" s="9"/>
      <c r="AW18" s="9"/>
      <c r="AX18" s="9"/>
      <c r="AY18" s="9"/>
      <c r="AZ18" s="9"/>
      <c r="BA18" s="11"/>
      <c r="BB18" s="9"/>
      <c r="BC18" s="9"/>
      <c r="BD18" s="16"/>
    </row>
    <row r="19" spans="1:56" ht="13.8" x14ac:dyDescent="0.25">
      <c r="A19" s="68">
        <v>2009</v>
      </c>
      <c r="B19" s="80">
        <v>1205793</v>
      </c>
      <c r="C19" s="80">
        <v>1307805</v>
      </c>
      <c r="D19" s="80">
        <v>3146619</v>
      </c>
      <c r="E19" s="80">
        <v>6040924</v>
      </c>
      <c r="F19" s="80">
        <v>82402105</v>
      </c>
      <c r="G19" s="80">
        <v>12365806</v>
      </c>
      <c r="H19" s="80">
        <v>1638975</v>
      </c>
      <c r="I19" s="80">
        <v>6843006</v>
      </c>
      <c r="J19" s="58">
        <v>114951033</v>
      </c>
      <c r="AM19" s="9"/>
      <c r="AN19" s="9"/>
      <c r="AO19" s="9"/>
      <c r="AP19" s="9"/>
      <c r="AQ19" s="9"/>
      <c r="AR19" s="11"/>
      <c r="AS19" s="9"/>
      <c r="AT19" s="9"/>
      <c r="AU19" s="16"/>
      <c r="AV19" s="9"/>
      <c r="AW19" s="9"/>
      <c r="AX19" s="9"/>
      <c r="AY19" s="9"/>
      <c r="AZ19" s="9"/>
      <c r="BA19" s="11"/>
      <c r="BB19" s="9"/>
      <c r="BC19" s="9"/>
      <c r="BD19" s="16"/>
    </row>
    <row r="20" spans="1:56" ht="13.8" x14ac:dyDescent="0.25">
      <c r="A20" s="68">
        <v>2010</v>
      </c>
      <c r="B20" s="81">
        <v>176642</v>
      </c>
      <c r="C20" s="81">
        <v>3615086</v>
      </c>
      <c r="D20" s="81">
        <v>3615086</v>
      </c>
      <c r="E20" s="81">
        <f>3504491+2927435</f>
        <v>6431926</v>
      </c>
      <c r="F20" s="81">
        <v>91597791</v>
      </c>
      <c r="G20" s="81">
        <v>13749406</v>
      </c>
      <c r="H20" s="81">
        <v>1760428</v>
      </c>
      <c r="I20" s="81">
        <f>350459+5005201+1617173+580043</f>
        <v>7552876</v>
      </c>
      <c r="J20" s="59">
        <v>127745972</v>
      </c>
      <c r="AM20" s="9"/>
      <c r="AN20" s="9"/>
      <c r="AO20" s="9"/>
      <c r="AP20" s="9"/>
      <c r="AQ20" s="9"/>
      <c r="AR20" s="11"/>
      <c r="AS20" s="9"/>
      <c r="AT20" s="9"/>
      <c r="AU20" s="16"/>
      <c r="AV20" s="9"/>
      <c r="AW20" s="9"/>
      <c r="AX20" s="9"/>
      <c r="AY20" s="9"/>
      <c r="AZ20" s="9"/>
      <c r="BA20" s="11"/>
      <c r="BB20" s="9"/>
      <c r="BC20" s="9"/>
      <c r="BD20" s="16"/>
    </row>
    <row r="21" spans="1:56" ht="13.8" x14ac:dyDescent="0.25">
      <c r="A21" s="68">
        <v>2011</v>
      </c>
      <c r="B21" s="80">
        <v>1238245</v>
      </c>
      <c r="C21" s="80">
        <v>1789417</v>
      </c>
      <c r="D21" s="80">
        <v>4016888</v>
      </c>
      <c r="E21" s="80">
        <f>3760864+3303631</f>
        <v>7064495</v>
      </c>
      <c r="F21" s="80">
        <v>101864582</v>
      </c>
      <c r="G21" s="80">
        <v>15467473</v>
      </c>
      <c r="H21" s="80">
        <v>1974253</v>
      </c>
      <c r="I21" s="80">
        <f>365581+5310705+1724109+645046</f>
        <v>8045441</v>
      </c>
      <c r="J21" s="58">
        <v>141865607</v>
      </c>
      <c r="AM21" s="11"/>
      <c r="AN21" s="11"/>
      <c r="AO21" s="11"/>
      <c r="AP21" s="11"/>
      <c r="AQ21" s="11"/>
      <c r="AR21" s="11"/>
      <c r="AS21" s="9"/>
      <c r="AT21" s="9"/>
      <c r="AU21" s="16"/>
      <c r="AV21" s="11"/>
      <c r="AW21" s="11"/>
      <c r="AX21" s="11"/>
      <c r="AY21" s="11"/>
      <c r="AZ21" s="11"/>
      <c r="BA21" s="11"/>
      <c r="BB21" s="9"/>
      <c r="BC21" s="9"/>
      <c r="BD21" s="16"/>
    </row>
    <row r="22" spans="1:56" s="42" customFormat="1" ht="13.8" x14ac:dyDescent="0.25">
      <c r="A22" s="68">
        <v>2012</v>
      </c>
      <c r="B22" s="81">
        <v>1296764</v>
      </c>
      <c r="C22" s="81">
        <v>2011022</v>
      </c>
      <c r="D22" s="81">
        <v>4242968</v>
      </c>
      <c r="E22" s="81">
        <f>4056885+3601506</f>
        <v>7658391</v>
      </c>
      <c r="F22" s="81">
        <v>115419175</v>
      </c>
      <c r="G22" s="81">
        <v>17569546</v>
      </c>
      <c r="H22" s="81">
        <v>1987098</v>
      </c>
      <c r="I22" s="81">
        <f>379739+5811131+1886932+788530</f>
        <v>8866332</v>
      </c>
      <c r="J22" s="59">
        <v>159490578</v>
      </c>
      <c r="AM22" s="11"/>
      <c r="AN22" s="18"/>
      <c r="AO22" s="11"/>
      <c r="AP22" s="11"/>
      <c r="AQ22" s="11"/>
      <c r="AR22" s="11"/>
      <c r="AS22" s="9"/>
      <c r="AT22" s="9"/>
      <c r="AU22" s="16"/>
      <c r="AV22" s="11"/>
      <c r="AW22" s="18"/>
      <c r="AX22" s="11"/>
      <c r="AY22" s="11"/>
      <c r="AZ22" s="11"/>
      <c r="BA22" s="24"/>
      <c r="BB22" s="23"/>
      <c r="BC22" s="23"/>
      <c r="BD22" s="25"/>
    </row>
    <row r="23" spans="1:56" s="42" customFormat="1" ht="13.8" x14ac:dyDescent="0.25">
      <c r="A23" s="68">
        <v>2013</v>
      </c>
      <c r="B23" s="80">
        <v>1418763</v>
      </c>
      <c r="C23" s="80">
        <v>2216453</v>
      </c>
      <c r="D23" s="80">
        <v>4718672</v>
      </c>
      <c r="E23" s="80">
        <v>8596762</v>
      </c>
      <c r="F23" s="80">
        <v>132550294</v>
      </c>
      <c r="G23" s="80">
        <v>20503389</v>
      </c>
      <c r="H23" s="80">
        <v>2132893</v>
      </c>
      <c r="I23" s="80">
        <v>9768046</v>
      </c>
      <c r="J23" s="58">
        <v>182445229</v>
      </c>
      <c r="AM23" s="11"/>
      <c r="AN23" s="18"/>
      <c r="AO23" s="11"/>
      <c r="AP23" s="11"/>
      <c r="AQ23" s="11"/>
      <c r="AR23" s="11"/>
      <c r="AS23" s="9"/>
      <c r="AT23" s="9"/>
      <c r="AU23" s="16"/>
      <c r="AV23" s="11"/>
      <c r="AW23" s="18"/>
      <c r="AX23" s="11"/>
      <c r="AY23" s="11"/>
      <c r="AZ23" s="11"/>
      <c r="BA23" s="24"/>
      <c r="BB23" s="23"/>
      <c r="BC23" s="23"/>
      <c r="BD23" s="25"/>
    </row>
    <row r="24" spans="1:56" s="42" customFormat="1" ht="13.8" x14ac:dyDescent="0.25">
      <c r="A24" s="68">
        <v>2014</v>
      </c>
      <c r="B24" s="81">
        <v>1468010</v>
      </c>
      <c r="C24" s="81">
        <v>2109348</v>
      </c>
      <c r="D24" s="81">
        <v>4638377</v>
      </c>
      <c r="E24" s="81">
        <v>8697541</v>
      </c>
      <c r="F24" s="81">
        <v>139409778</v>
      </c>
      <c r="G24" s="81">
        <v>21671515</v>
      </c>
      <c r="H24" s="81">
        <v>2216888</v>
      </c>
      <c r="I24" s="81">
        <v>9778764</v>
      </c>
      <c r="J24" s="59">
        <v>190703971</v>
      </c>
      <c r="AM24" s="11"/>
      <c r="AN24" s="18"/>
      <c r="AO24" s="11"/>
      <c r="AP24" s="11"/>
      <c r="AQ24" s="11"/>
      <c r="AR24" s="11"/>
      <c r="AS24" s="9"/>
      <c r="AT24" s="9"/>
      <c r="AU24" s="16"/>
      <c r="AV24" s="11"/>
      <c r="AW24" s="18"/>
      <c r="AX24" s="11"/>
      <c r="AY24" s="11"/>
      <c r="AZ24" s="11"/>
      <c r="BA24" s="24"/>
      <c r="BB24" s="23"/>
      <c r="BC24" s="23"/>
      <c r="BD24" s="25"/>
    </row>
    <row r="25" spans="1:56" s="42" customFormat="1" ht="13.8" x14ac:dyDescent="0.25">
      <c r="A25" s="68">
        <v>2015</v>
      </c>
      <c r="B25" s="80">
        <v>1527396</v>
      </c>
      <c r="C25" s="80">
        <v>2256619</v>
      </c>
      <c r="D25" s="80">
        <v>5028312</v>
      </c>
      <c r="E25" s="80">
        <v>9344464</v>
      </c>
      <c r="F25" s="80">
        <v>154297746</v>
      </c>
      <c r="G25" s="80">
        <v>23807986</v>
      </c>
      <c r="H25" s="80">
        <v>2546731</v>
      </c>
      <c r="I25" s="80">
        <v>10474886</v>
      </c>
      <c r="J25" s="58">
        <v>210023289</v>
      </c>
      <c r="AM25" s="9"/>
      <c r="AN25" s="9"/>
      <c r="AO25" s="9"/>
      <c r="AP25" s="9"/>
      <c r="AQ25" s="9"/>
      <c r="AR25" s="11"/>
      <c r="AS25" s="9"/>
      <c r="AT25" s="9"/>
      <c r="AU25" s="16"/>
      <c r="AV25" s="9"/>
      <c r="AW25" s="9"/>
      <c r="AX25" s="9"/>
      <c r="AY25" s="9"/>
      <c r="AZ25" s="9"/>
      <c r="BA25" s="24"/>
      <c r="BB25" s="23"/>
      <c r="BC25" s="23"/>
      <c r="BD25" s="25"/>
    </row>
    <row r="26" spans="1:56" s="42" customFormat="1" ht="13.8" x14ac:dyDescent="0.25">
      <c r="A26" s="111">
        <v>2016</v>
      </c>
      <c r="B26" s="93">
        <v>1384740</v>
      </c>
      <c r="C26" s="93">
        <v>2341375</v>
      </c>
      <c r="D26" s="93">
        <v>6392010</v>
      </c>
      <c r="E26" s="93">
        <v>10516156</v>
      </c>
      <c r="F26" s="93">
        <v>168975300</v>
      </c>
      <c r="G26" s="93">
        <v>25634824</v>
      </c>
      <c r="H26" s="93">
        <v>2265488</v>
      </c>
      <c r="I26" s="93">
        <v>12048062</v>
      </c>
      <c r="J26" s="112">
        <v>230030598</v>
      </c>
      <c r="AM26" s="9"/>
      <c r="AN26" s="9"/>
      <c r="AO26" s="9"/>
      <c r="AP26" s="9"/>
      <c r="AQ26" s="9"/>
      <c r="AR26" s="11"/>
      <c r="AS26" s="9"/>
      <c r="AT26" s="9"/>
      <c r="AU26" s="16"/>
      <c r="AV26" s="9"/>
      <c r="AW26" s="9"/>
      <c r="AX26" s="9"/>
      <c r="AY26" s="9"/>
      <c r="AZ26" s="9"/>
      <c r="BA26" s="24"/>
      <c r="BB26" s="23"/>
      <c r="BC26" s="23"/>
      <c r="BD26" s="25"/>
    </row>
    <row r="27" spans="1:56" s="42" customFormat="1" ht="13.8" x14ac:dyDescent="0.25">
      <c r="A27" s="69"/>
      <c r="B27" s="86" t="s">
        <v>33</v>
      </c>
      <c r="C27" s="67"/>
      <c r="D27" s="67"/>
      <c r="E27" s="67"/>
      <c r="F27" s="67"/>
      <c r="G27" s="67"/>
      <c r="H27" s="67"/>
      <c r="I27" s="67"/>
      <c r="J27" s="70"/>
      <c r="AM27" s="9"/>
      <c r="AN27" s="9"/>
      <c r="AO27" s="9"/>
      <c r="AP27" s="9"/>
      <c r="AQ27" s="9"/>
      <c r="AR27" s="11"/>
      <c r="AS27" s="9"/>
      <c r="AT27" s="9"/>
      <c r="AU27" s="16"/>
      <c r="AV27" s="9"/>
      <c r="AW27" s="9"/>
      <c r="AX27" s="9"/>
      <c r="AY27" s="9"/>
      <c r="AZ27" s="9"/>
      <c r="BA27" s="24"/>
      <c r="BB27" s="23"/>
      <c r="BC27" s="23"/>
      <c r="BD27" s="25"/>
    </row>
    <row r="28" spans="1:56" s="42" customFormat="1" ht="13.8" x14ac:dyDescent="0.25">
      <c r="A28" s="69"/>
      <c r="B28" s="64" t="s">
        <v>78</v>
      </c>
      <c r="C28" s="67"/>
      <c r="D28" s="67"/>
      <c r="E28" s="67"/>
      <c r="F28" s="67"/>
      <c r="G28" s="67"/>
      <c r="H28" s="67"/>
      <c r="I28" s="67"/>
      <c r="J28" s="70"/>
      <c r="AM28" s="9"/>
      <c r="AN28" s="11"/>
      <c r="AO28" s="9"/>
      <c r="AP28" s="9"/>
      <c r="AQ28" s="9"/>
      <c r="AR28" s="11"/>
      <c r="AS28" s="9"/>
      <c r="AT28" s="9"/>
      <c r="AU28" s="16"/>
      <c r="AV28" s="9"/>
      <c r="AW28" s="11"/>
      <c r="AX28" s="9"/>
      <c r="AY28" s="9"/>
      <c r="AZ28" s="9"/>
      <c r="BA28" s="11"/>
      <c r="BB28" s="9"/>
      <c r="BC28" s="9"/>
      <c r="BD28" s="16"/>
    </row>
    <row r="29" spans="1:56" s="42" customFormat="1" ht="13.8" x14ac:dyDescent="0.25">
      <c r="A29" s="69"/>
      <c r="B29" s="65" t="s">
        <v>59</v>
      </c>
      <c r="C29" s="67"/>
      <c r="D29" s="67"/>
      <c r="E29" s="67"/>
      <c r="F29" s="67"/>
      <c r="G29" s="67"/>
      <c r="H29" s="67"/>
      <c r="I29" s="67"/>
      <c r="J29" s="70"/>
      <c r="AM29" s="11"/>
      <c r="AN29" s="11"/>
      <c r="AO29" s="11"/>
      <c r="AP29" s="11"/>
      <c r="AQ29" s="11"/>
      <c r="AR29" s="11"/>
      <c r="AS29" s="9"/>
      <c r="AT29" s="9"/>
      <c r="AU29" s="16"/>
      <c r="AV29" s="11"/>
      <c r="AW29" s="11"/>
      <c r="AX29" s="11"/>
      <c r="AY29" s="11"/>
      <c r="AZ29" s="11"/>
      <c r="BA29" s="11"/>
      <c r="BB29" s="9"/>
      <c r="BC29" s="9"/>
      <c r="BD29" s="16"/>
    </row>
    <row r="30" spans="1:56" s="42" customFormat="1" ht="14.4" thickBot="1" x14ac:dyDescent="0.3">
      <c r="A30" s="71"/>
      <c r="B30" s="66"/>
      <c r="C30" s="66"/>
      <c r="D30" s="66"/>
      <c r="E30" s="66"/>
      <c r="F30" s="66"/>
      <c r="G30" s="66"/>
      <c r="H30" s="66"/>
      <c r="I30" s="66"/>
      <c r="J30" s="72"/>
      <c r="AM30" s="9"/>
      <c r="AN30" s="9"/>
      <c r="AO30" s="9"/>
      <c r="AP30" s="9"/>
      <c r="AQ30" s="9"/>
      <c r="AR30" s="11"/>
      <c r="AS30" s="9"/>
      <c r="AT30" s="9"/>
      <c r="AU30" s="16"/>
      <c r="AV30" s="9"/>
      <c r="AW30" s="9"/>
      <c r="AX30" s="9"/>
      <c r="AY30" s="9"/>
      <c r="AZ30" s="9"/>
      <c r="BA30" s="11"/>
      <c r="BB30" s="9"/>
      <c r="BC30" s="9"/>
      <c r="BD30" s="16"/>
    </row>
    <row r="31" spans="1:56" s="42" customFormat="1" ht="13.8" x14ac:dyDescent="0.25">
      <c r="AM31" s="9"/>
      <c r="AN31" s="9"/>
      <c r="AO31" s="9"/>
      <c r="AP31" s="9"/>
      <c r="AQ31" s="9"/>
      <c r="AR31" s="11"/>
      <c r="AS31" s="9"/>
      <c r="AT31" s="9"/>
      <c r="AU31" s="16"/>
      <c r="AV31" s="9"/>
      <c r="AW31" s="9"/>
      <c r="AX31" s="9"/>
      <c r="AY31" s="9"/>
      <c r="AZ31" s="9"/>
      <c r="BA31" s="11"/>
      <c r="BB31" s="9"/>
      <c r="BC31" s="9"/>
      <c r="BD31" s="16"/>
    </row>
    <row r="32" spans="1:56" s="42" customFormat="1" ht="13.8" x14ac:dyDescent="0.25">
      <c r="AM32" s="9"/>
      <c r="AN32" s="18"/>
      <c r="AO32" s="9"/>
      <c r="AP32" s="9"/>
      <c r="AQ32" s="9"/>
      <c r="AR32" s="11"/>
      <c r="AS32" s="9"/>
      <c r="AT32" s="9"/>
      <c r="AU32" s="16"/>
      <c r="AV32" s="9"/>
      <c r="AW32" s="18"/>
      <c r="AX32" s="9"/>
      <c r="AY32" s="9"/>
      <c r="AZ32" s="9"/>
      <c r="BA32" s="11"/>
      <c r="BB32" s="9"/>
      <c r="BC32" s="9"/>
      <c r="BD32" s="16"/>
    </row>
    <row r="33" spans="1:56" s="42" customFormat="1" ht="13.8" x14ac:dyDescent="0.25">
      <c r="AM33" s="9"/>
      <c r="AN33" s="9"/>
      <c r="AO33" s="9"/>
      <c r="AP33" s="9"/>
      <c r="AQ33" s="9"/>
      <c r="AR33" s="11"/>
      <c r="AS33" s="3"/>
      <c r="AT33" s="9"/>
      <c r="AU33" s="16"/>
      <c r="AV33" s="9"/>
      <c r="AW33" s="9"/>
      <c r="AX33" s="9"/>
      <c r="AY33" s="9"/>
      <c r="AZ33" s="9"/>
      <c r="BA33" s="11"/>
      <c r="BB33" s="9"/>
      <c r="BC33" s="9"/>
      <c r="BD33" s="16"/>
    </row>
    <row r="34" spans="1:56" s="42" customFormat="1" ht="13.8" x14ac:dyDescent="0.25">
      <c r="AM34" s="9"/>
      <c r="AN34" s="9"/>
      <c r="AO34" s="11"/>
      <c r="AP34" s="9"/>
      <c r="AQ34" s="9"/>
      <c r="AR34" s="11"/>
      <c r="AS34" s="9"/>
      <c r="AT34" s="9"/>
      <c r="AU34" s="16"/>
      <c r="AV34" s="9"/>
      <c r="AW34" s="9"/>
      <c r="AX34" s="11"/>
      <c r="AY34" s="9"/>
      <c r="AZ34" s="9"/>
      <c r="BA34" s="11"/>
      <c r="BB34" s="9"/>
      <c r="BC34" s="9"/>
      <c r="BD34" s="16"/>
    </row>
    <row r="35" spans="1:56" s="42" customFormat="1" ht="13.8" x14ac:dyDescent="0.25">
      <c r="AM35" s="9"/>
      <c r="AN35" s="9"/>
      <c r="AO35" s="9"/>
      <c r="AP35" s="9"/>
      <c r="AQ35" s="9"/>
      <c r="AR35" s="11"/>
      <c r="AS35" s="9"/>
      <c r="AT35" s="9"/>
      <c r="AU35" s="16"/>
      <c r="AV35" s="9"/>
      <c r="AW35" s="9"/>
      <c r="AX35" s="9"/>
      <c r="AY35" s="9"/>
      <c r="AZ35" s="9"/>
      <c r="BA35" s="11"/>
      <c r="BB35" s="9"/>
      <c r="BC35" s="9"/>
      <c r="BD35" s="16"/>
    </row>
    <row r="36" spans="1:56" s="42" customFormat="1" ht="13.8" x14ac:dyDescent="0.25">
      <c r="AM36" s="9"/>
      <c r="AN36" s="9"/>
      <c r="AO36" s="9"/>
      <c r="AP36" s="9"/>
      <c r="AQ36" s="9"/>
      <c r="AR36" s="11"/>
      <c r="AS36" s="9"/>
      <c r="AT36" s="9"/>
      <c r="AU36" s="16"/>
      <c r="AV36" s="9"/>
      <c r="AW36" s="9"/>
      <c r="AX36" s="9"/>
      <c r="AY36" s="9"/>
      <c r="AZ36" s="9"/>
      <c r="BA36" s="11"/>
      <c r="BB36" s="9"/>
      <c r="BC36" s="9"/>
      <c r="BD36" s="16"/>
    </row>
    <row r="37" spans="1:56" s="42" customFormat="1" ht="13.8" x14ac:dyDescent="0.25">
      <c r="AM37" s="9"/>
      <c r="AN37" s="11"/>
      <c r="AO37" s="11"/>
      <c r="AP37" s="9"/>
      <c r="AQ37" s="9"/>
      <c r="AR37" s="11"/>
      <c r="AS37" s="9"/>
      <c r="AT37" s="9"/>
      <c r="AU37" s="16"/>
      <c r="AV37" s="9"/>
      <c r="AW37" s="11"/>
      <c r="AX37" s="11"/>
      <c r="AY37" s="9"/>
      <c r="AZ37" s="9"/>
      <c r="BA37" s="11"/>
      <c r="BB37" s="9"/>
      <c r="BC37" s="9"/>
      <c r="BD37" s="16"/>
    </row>
    <row r="38" spans="1:56" s="42" customFormat="1" ht="13.8" x14ac:dyDescent="0.25">
      <c r="AM38" s="9"/>
      <c r="AN38" s="11"/>
      <c r="AO38" s="12"/>
      <c r="AP38" s="9"/>
      <c r="AQ38" s="9"/>
      <c r="AR38" s="11"/>
      <c r="AS38" s="9"/>
      <c r="AT38" s="9"/>
      <c r="AU38" s="16"/>
      <c r="AV38" s="9"/>
      <c r="AW38" s="11"/>
      <c r="AX38" s="12"/>
      <c r="AY38" s="9"/>
      <c r="AZ38" s="9"/>
      <c r="BA38" s="11"/>
      <c r="BB38" s="9"/>
      <c r="BC38" s="9"/>
      <c r="BD38" s="16"/>
    </row>
    <row r="39" spans="1:56" s="42" customFormat="1" ht="13.8" x14ac:dyDescent="0.25">
      <c r="AM39" s="9"/>
      <c r="AN39" s="9"/>
      <c r="AO39" s="9"/>
      <c r="AP39" s="9"/>
      <c r="AQ39" s="9"/>
      <c r="AR39" s="11"/>
      <c r="AS39" s="9"/>
      <c r="AT39" s="9"/>
      <c r="AU39" s="16"/>
      <c r="AV39" s="9"/>
      <c r="AW39" s="9"/>
      <c r="AX39" s="9"/>
      <c r="AY39" s="9"/>
      <c r="AZ39" s="9"/>
      <c r="BA39" s="11"/>
      <c r="BB39" s="9"/>
      <c r="BC39" s="9"/>
      <c r="BD39" s="16"/>
    </row>
    <row r="40" spans="1:56" s="42" customFormat="1" ht="13.8" x14ac:dyDescent="0.25">
      <c r="AM40" s="11"/>
      <c r="AN40" s="11"/>
      <c r="AO40" s="11"/>
      <c r="AP40" s="11"/>
      <c r="AQ40" s="11"/>
      <c r="AR40" s="11"/>
      <c r="AS40" s="11"/>
      <c r="AT40" s="9"/>
      <c r="AU40" s="16"/>
      <c r="AV40" s="11"/>
      <c r="AW40" s="11"/>
      <c r="AX40" s="11"/>
      <c r="AY40" s="11"/>
      <c r="AZ40" s="11"/>
      <c r="BA40" s="11"/>
      <c r="BB40" s="9"/>
      <c r="BC40" s="9"/>
      <c r="BD40" s="16"/>
    </row>
    <row r="41" spans="1:56" s="42" customFormat="1" ht="13.8" x14ac:dyDescent="0.25">
      <c r="AM41" s="9"/>
      <c r="AN41" s="18"/>
      <c r="AO41" s="11"/>
      <c r="AP41" s="9"/>
      <c r="AQ41" s="11"/>
      <c r="AR41" s="11"/>
      <c r="AS41" s="9"/>
      <c r="AT41" s="9"/>
      <c r="AU41" s="16"/>
      <c r="AV41" s="9"/>
      <c r="AW41" s="18"/>
      <c r="AX41" s="11"/>
      <c r="AY41" s="9"/>
      <c r="AZ41" s="11"/>
      <c r="BA41" s="11"/>
      <c r="BB41" s="9"/>
      <c r="BC41" s="9"/>
      <c r="BD41" s="16"/>
    </row>
    <row r="42" spans="1:56" s="42" customFormat="1" ht="13.8" x14ac:dyDescent="0.25">
      <c r="AM42" s="3"/>
      <c r="AN42" s="11"/>
      <c r="AO42" s="18"/>
      <c r="AP42" s="11"/>
      <c r="AQ42" s="11"/>
      <c r="AR42" s="11"/>
      <c r="AS42" s="9"/>
      <c r="AT42" s="18"/>
      <c r="AU42" s="22"/>
      <c r="AV42" s="11"/>
      <c r="AW42" s="11"/>
      <c r="AX42" s="18"/>
      <c r="AY42" s="11"/>
      <c r="AZ42" s="11"/>
      <c r="BA42" s="11"/>
      <c r="BB42" s="9"/>
      <c r="BC42" s="18"/>
      <c r="BD42" s="22"/>
    </row>
    <row r="43" spans="1:56" s="42" customFormat="1" ht="13.8" x14ac:dyDescent="0.25">
      <c r="AM43" s="11"/>
      <c r="AN43" s="9"/>
      <c r="AO43" s="13"/>
      <c r="AP43" s="9"/>
      <c r="AQ43" s="9"/>
      <c r="AR43" s="11"/>
      <c r="AS43" s="9"/>
      <c r="AT43" s="9"/>
      <c r="AU43" s="16"/>
      <c r="AV43" s="9"/>
      <c r="AW43" s="9"/>
      <c r="AX43" s="13"/>
      <c r="AY43" s="9"/>
      <c r="AZ43" s="9"/>
      <c r="BA43" s="11"/>
      <c r="BB43" s="9"/>
      <c r="BC43" s="9"/>
      <c r="BD43" s="16"/>
    </row>
    <row r="44" spans="1:56" s="42" customFormat="1" ht="13.8" x14ac:dyDescent="0.25">
      <c r="AM44" s="9"/>
      <c r="AN44" s="9"/>
      <c r="AO44" s="11"/>
      <c r="AP44" s="9"/>
      <c r="AQ44" s="9"/>
      <c r="AR44" s="11"/>
      <c r="AS44" s="9"/>
      <c r="AT44" s="9"/>
      <c r="AU44" s="16"/>
      <c r="AV44" s="9"/>
      <c r="AW44" s="9"/>
      <c r="AX44" s="11"/>
      <c r="AY44" s="9"/>
      <c r="AZ44" s="9"/>
      <c r="BA44" s="11"/>
      <c r="BB44" s="9"/>
      <c r="BC44" s="9"/>
      <c r="BD44" s="16"/>
    </row>
    <row r="45" spans="1:56" s="42" customFormat="1" ht="13.8" x14ac:dyDescent="0.25">
      <c r="AM45" s="9"/>
      <c r="AN45" s="9"/>
      <c r="AO45" s="9"/>
      <c r="AP45" s="9"/>
      <c r="AQ45" s="18"/>
      <c r="AR45" s="11"/>
      <c r="AS45" s="9"/>
      <c r="AT45" s="9"/>
      <c r="AU45" s="16"/>
      <c r="AV45" s="9"/>
      <c r="AW45" s="9"/>
      <c r="AX45" s="9"/>
      <c r="AY45" s="9"/>
      <c r="AZ45" s="18"/>
      <c r="BA45" s="11"/>
      <c r="BB45" s="9"/>
      <c r="BC45" s="9"/>
      <c r="BD45" s="16"/>
    </row>
    <row r="46" spans="1:56" s="42" customFormat="1" ht="13.8" x14ac:dyDescent="0.25">
      <c r="AM46" s="11"/>
      <c r="AN46" s="11"/>
      <c r="AO46" s="11"/>
      <c r="AP46" s="11"/>
      <c r="AQ46" s="11"/>
      <c r="AR46" s="20"/>
      <c r="AS46" s="19"/>
      <c r="AT46" s="19"/>
      <c r="AU46" s="21"/>
      <c r="AV46" s="11"/>
      <c r="AW46" s="11"/>
      <c r="AX46" s="11"/>
      <c r="AY46" s="11"/>
      <c r="AZ46" s="11"/>
      <c r="BA46" s="11"/>
      <c r="BB46" s="9"/>
      <c r="BC46" s="9"/>
      <c r="BD46" s="16"/>
    </row>
    <row r="47" spans="1:56" s="42" customFormat="1" ht="13.8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AM47" s="41"/>
      <c r="AN47" s="41"/>
      <c r="AO47" s="41"/>
      <c r="AP47" s="41"/>
      <c r="AQ47" s="41"/>
      <c r="AR47" s="20"/>
      <c r="AS47" s="19"/>
      <c r="AT47" s="19"/>
      <c r="AU47" s="21"/>
      <c r="AV47" s="41"/>
      <c r="AW47" s="41"/>
      <c r="AX47" s="41"/>
      <c r="AY47" s="41"/>
      <c r="AZ47" s="41"/>
      <c r="BA47" s="20"/>
      <c r="BB47" s="19"/>
      <c r="BC47" s="19"/>
      <c r="BD47" s="21"/>
    </row>
    <row r="48" spans="1:56" s="42" customFormat="1" ht="13.2" x14ac:dyDescent="0.25">
      <c r="AM48" s="9"/>
      <c r="AV48" s="43"/>
      <c r="AW48" s="43"/>
      <c r="AX48" s="135"/>
      <c r="AY48" s="135"/>
      <c r="AZ48" s="135"/>
      <c r="BA48" s="135"/>
      <c r="BB48" s="135"/>
      <c r="BC48" s="135"/>
      <c r="BD48" s="135"/>
    </row>
    <row r="49" spans="11:56" s="42" customFormat="1" ht="13.2" x14ac:dyDescent="0.25">
      <c r="AM49" s="9"/>
      <c r="AV49" s="3"/>
      <c r="AW49" s="15"/>
      <c r="AX49" s="3"/>
      <c r="AY49" s="3"/>
      <c r="AZ49" s="8"/>
      <c r="BA49" s="3"/>
      <c r="BB49" s="3"/>
    </row>
    <row r="50" spans="11:56" s="42" customFormat="1" ht="13.2" x14ac:dyDescent="0.25">
      <c r="AM50" s="9"/>
      <c r="AX50" s="3"/>
      <c r="BD50" s="8"/>
    </row>
    <row r="51" spans="11:56" s="42" customFormat="1" ht="13.2" x14ac:dyDescent="0.25">
      <c r="AM51" s="9"/>
      <c r="AX51" s="3"/>
      <c r="BD51" s="3"/>
    </row>
    <row r="52" spans="11:56" s="42" customFormat="1" ht="13.2" x14ac:dyDescent="0.25">
      <c r="AM52" s="9"/>
      <c r="AX52" s="7"/>
      <c r="BD52" s="3"/>
    </row>
    <row r="53" spans="11:56" s="42" customFormat="1" ht="13.2" x14ac:dyDescent="0.25">
      <c r="AM53" s="9"/>
      <c r="AX53" s="3"/>
      <c r="BD53" s="15"/>
    </row>
    <row r="54" spans="11:56" s="42" customFormat="1" ht="13.2" x14ac:dyDescent="0.25">
      <c r="AM54" s="9"/>
    </row>
    <row r="55" spans="11:56" s="42" customFormat="1" ht="13.2" x14ac:dyDescent="0.25">
      <c r="AM55" s="11"/>
    </row>
    <row r="56" spans="11:56" s="42" customFormat="1" ht="13.2" x14ac:dyDescent="0.25">
      <c r="AM56" s="9"/>
    </row>
    <row r="57" spans="11:56" s="42" customFormat="1" ht="13.2" x14ac:dyDescent="0.25">
      <c r="K57" s="2"/>
      <c r="AM57" s="9"/>
    </row>
    <row r="58" spans="11:56" s="42" customFormat="1" ht="13.2" x14ac:dyDescent="0.25">
      <c r="K58" s="2"/>
      <c r="AM58" s="9"/>
    </row>
    <row r="59" spans="11:56" s="42" customFormat="1" ht="13.2" x14ac:dyDescent="0.25">
      <c r="K59" s="2"/>
      <c r="AM59" s="9"/>
    </row>
    <row r="60" spans="11:56" s="42" customFormat="1" ht="13.2" x14ac:dyDescent="0.25">
      <c r="K60" s="2"/>
      <c r="AM60" s="9"/>
    </row>
    <row r="61" spans="11:56" s="42" customFormat="1" ht="13.2" x14ac:dyDescent="0.25">
      <c r="K61" s="2"/>
      <c r="AM61" s="9"/>
    </row>
    <row r="62" spans="11:56" s="42" customFormat="1" ht="13.2" x14ac:dyDescent="0.25">
      <c r="K62" s="2"/>
      <c r="AM62" s="9"/>
    </row>
    <row r="63" spans="11:56" s="42" customFormat="1" ht="13.2" x14ac:dyDescent="0.25">
      <c r="K63" s="2"/>
      <c r="AM63" s="9"/>
    </row>
    <row r="64" spans="11:56" s="42" customFormat="1" ht="13.2" x14ac:dyDescent="0.25">
      <c r="K64" s="2"/>
      <c r="AM64" s="9"/>
    </row>
    <row r="65" spans="11:39" s="42" customFormat="1" ht="13.2" x14ac:dyDescent="0.25">
      <c r="K65" s="2"/>
      <c r="AM65" s="9"/>
    </row>
    <row r="66" spans="11:39" s="42" customFormat="1" ht="13.2" x14ac:dyDescent="0.25">
      <c r="K66" s="2"/>
      <c r="AM66" s="9"/>
    </row>
    <row r="67" spans="11:39" s="42" customFormat="1" ht="13.2" x14ac:dyDescent="0.25">
      <c r="K67" s="2"/>
      <c r="AM67" s="9"/>
    </row>
    <row r="68" spans="11:39" s="42" customFormat="1" ht="13.2" x14ac:dyDescent="0.25">
      <c r="K68" s="2"/>
      <c r="AM68" s="9"/>
    </row>
    <row r="69" spans="11:39" s="42" customFormat="1" ht="13.2" x14ac:dyDescent="0.25">
      <c r="K69" s="2"/>
      <c r="AM69" s="9"/>
    </row>
    <row r="70" spans="11:39" s="42" customFormat="1" ht="13.2" x14ac:dyDescent="0.25">
      <c r="K70" s="2"/>
      <c r="AM70" s="9"/>
    </row>
    <row r="71" spans="11:39" s="42" customFormat="1" ht="13.2" x14ac:dyDescent="0.25">
      <c r="K71" s="2"/>
      <c r="AM71" s="9"/>
    </row>
    <row r="72" spans="11:39" s="42" customFormat="1" ht="13.2" x14ac:dyDescent="0.25">
      <c r="K72" s="2"/>
      <c r="AM72" s="9"/>
    </row>
    <row r="73" spans="11:39" s="42" customFormat="1" ht="13.2" x14ac:dyDescent="0.25">
      <c r="K73" s="2"/>
      <c r="AM73" s="9"/>
    </row>
    <row r="74" spans="11:39" s="42" customFormat="1" ht="13.2" x14ac:dyDescent="0.25">
      <c r="K74" s="2"/>
      <c r="AM74" s="9"/>
    </row>
    <row r="75" spans="11:39" s="42" customFormat="1" ht="13.2" x14ac:dyDescent="0.25">
      <c r="K75" s="2"/>
      <c r="AM75" s="9"/>
    </row>
    <row r="76" spans="11:39" s="42" customFormat="1" ht="13.2" x14ac:dyDescent="0.25">
      <c r="K76" s="2"/>
      <c r="AM76" s="9"/>
    </row>
    <row r="77" spans="11:39" s="42" customFormat="1" ht="13.2" x14ac:dyDescent="0.25">
      <c r="K77" s="2"/>
      <c r="AM77" s="11"/>
    </row>
    <row r="78" spans="11:39" s="42" customFormat="1" ht="13.2" x14ac:dyDescent="0.25">
      <c r="K78" s="2"/>
      <c r="AM78" s="9"/>
    </row>
    <row r="79" spans="11:39" s="42" customFormat="1" ht="13.2" x14ac:dyDescent="0.25">
      <c r="K79" s="5"/>
      <c r="AM79" s="9"/>
    </row>
    <row r="80" spans="11:39" s="42" customFormat="1" ht="13.2" x14ac:dyDescent="0.25">
      <c r="K80" s="2"/>
      <c r="AM80" s="9"/>
    </row>
    <row r="81" spans="11:39" s="42" customFormat="1" ht="13.2" x14ac:dyDescent="0.25">
      <c r="K81" s="2"/>
      <c r="AM81" s="9"/>
    </row>
    <row r="82" spans="11:39" s="42" customFormat="1" ht="13.2" x14ac:dyDescent="0.25">
      <c r="K82" s="2"/>
      <c r="AM82" s="9"/>
    </row>
    <row r="83" spans="11:39" s="42" customFormat="1" ht="13.2" x14ac:dyDescent="0.25">
      <c r="K83" s="2"/>
      <c r="AM83" s="9"/>
    </row>
    <row r="84" spans="11:39" s="42" customFormat="1" ht="13.2" x14ac:dyDescent="0.25">
      <c r="K84" s="2"/>
      <c r="AM84" s="11"/>
    </row>
    <row r="85" spans="11:39" s="42" customFormat="1" ht="13.2" x14ac:dyDescent="0.25">
      <c r="K85" s="2"/>
      <c r="AM85" s="9"/>
    </row>
    <row r="86" spans="11:39" s="42" customFormat="1" ht="13.2" x14ac:dyDescent="0.25">
      <c r="K86" s="2"/>
      <c r="AM86" s="19"/>
    </row>
    <row r="87" spans="11:39" s="42" customFormat="1" ht="13.2" x14ac:dyDescent="0.25">
      <c r="K87" s="14"/>
      <c r="AM87" s="19"/>
    </row>
    <row r="88" spans="11:39" s="42" customFormat="1" ht="13.2" x14ac:dyDescent="0.25">
      <c r="K88" s="10"/>
      <c r="AM88" s="9"/>
    </row>
    <row r="89" spans="11:39" s="42" customFormat="1" ht="13.2" x14ac:dyDescent="0.25">
      <c r="K89" s="5"/>
      <c r="AM89" s="9"/>
    </row>
    <row r="90" spans="11:39" s="42" customFormat="1" ht="13.2" x14ac:dyDescent="0.25">
      <c r="K90" s="2"/>
      <c r="AM90" s="9"/>
    </row>
    <row r="91" spans="11:39" s="42" customFormat="1" ht="13.2" x14ac:dyDescent="0.25">
      <c r="K91" s="2"/>
      <c r="AM91" s="9"/>
    </row>
    <row r="92" spans="11:39" s="42" customFormat="1" ht="13.2" x14ac:dyDescent="0.25">
      <c r="K92" s="2"/>
      <c r="AM92" s="9"/>
    </row>
    <row r="93" spans="11:39" s="42" customFormat="1" ht="13.2" x14ac:dyDescent="0.25">
      <c r="K93" s="2"/>
      <c r="AM93" s="9"/>
    </row>
    <row r="94" spans="11:39" s="42" customFormat="1" ht="13.2" x14ac:dyDescent="0.25">
      <c r="K94" s="2"/>
      <c r="AM94" s="9"/>
    </row>
    <row r="95" spans="11:39" s="42" customFormat="1" ht="13.2" x14ac:dyDescent="0.25">
      <c r="K95" s="2"/>
      <c r="AM95" s="24"/>
    </row>
    <row r="96" spans="11:39" s="42" customFormat="1" ht="13.2" x14ac:dyDescent="0.25">
      <c r="K96" s="2"/>
      <c r="AM96" s="9"/>
    </row>
    <row r="97" spans="11:39" s="42" customFormat="1" ht="13.2" x14ac:dyDescent="0.25">
      <c r="K97" s="2"/>
      <c r="AM97" s="9"/>
    </row>
    <row r="98" spans="11:39" s="42" customFormat="1" ht="13.2" x14ac:dyDescent="0.25">
      <c r="K98" s="2"/>
      <c r="AM98" s="9"/>
    </row>
    <row r="99" spans="11:39" s="42" customFormat="1" ht="13.2" x14ac:dyDescent="0.25">
      <c r="K99" s="2"/>
      <c r="AM99" s="9"/>
    </row>
    <row r="100" spans="11:39" s="42" customFormat="1" ht="13.2" x14ac:dyDescent="0.25">
      <c r="K100" s="2"/>
      <c r="AM100" s="23"/>
    </row>
    <row r="101" spans="11:39" s="42" customFormat="1" ht="13.2" x14ac:dyDescent="0.25">
      <c r="K101" s="2"/>
      <c r="AM101" s="23"/>
    </row>
    <row r="102" spans="11:39" s="42" customFormat="1" ht="13.2" x14ac:dyDescent="0.25">
      <c r="K102" s="2"/>
      <c r="AM102" s="23"/>
    </row>
    <row r="103" spans="11:39" s="42" customFormat="1" ht="13.2" x14ac:dyDescent="0.25">
      <c r="K103" s="2"/>
      <c r="AM103" s="9"/>
    </row>
    <row r="104" spans="11:39" s="42" customFormat="1" ht="13.2" x14ac:dyDescent="0.25">
      <c r="K104" s="2"/>
      <c r="AM104" s="9"/>
    </row>
    <row r="105" spans="11:39" s="42" customFormat="1" ht="13.2" x14ac:dyDescent="0.25">
      <c r="K105" s="2"/>
      <c r="AM105" s="9"/>
    </row>
    <row r="106" spans="11:39" s="42" customFormat="1" ht="13.2" x14ac:dyDescent="0.25">
      <c r="K106" s="2"/>
      <c r="AM106" s="9"/>
    </row>
    <row r="107" spans="11:39" s="42" customFormat="1" ht="13.2" x14ac:dyDescent="0.25">
      <c r="K107" s="2"/>
      <c r="AM107" s="9"/>
    </row>
    <row r="108" spans="11:39" s="42" customFormat="1" ht="13.2" x14ac:dyDescent="0.25">
      <c r="K108" s="2"/>
      <c r="AM108" s="9"/>
    </row>
    <row r="109" spans="11:39" s="42" customFormat="1" ht="13.2" x14ac:dyDescent="0.25">
      <c r="K109" s="2"/>
      <c r="AM109" s="9"/>
    </row>
    <row r="110" spans="11:39" s="42" customFormat="1" ht="13.2" x14ac:dyDescent="0.25">
      <c r="K110" s="2"/>
      <c r="AM110" s="9"/>
    </row>
    <row r="111" spans="11:39" s="42" customFormat="1" ht="13.2" x14ac:dyDescent="0.25">
      <c r="K111" s="2"/>
      <c r="AM111" s="9"/>
    </row>
    <row r="112" spans="11:39" s="42" customFormat="1" ht="13.2" x14ac:dyDescent="0.25">
      <c r="K112" s="2"/>
      <c r="AM112" s="9"/>
    </row>
    <row r="113" spans="11:43" s="42" customFormat="1" ht="13.2" x14ac:dyDescent="0.25">
      <c r="K113" s="2"/>
      <c r="AM113" s="9"/>
    </row>
    <row r="114" spans="11:43" s="42" customFormat="1" ht="13.2" x14ac:dyDescent="0.25">
      <c r="K114" s="2"/>
      <c r="AM114" s="9"/>
    </row>
    <row r="115" spans="11:43" s="42" customFormat="1" ht="13.2" x14ac:dyDescent="0.25">
      <c r="K115" s="2"/>
      <c r="AM115" s="9"/>
    </row>
    <row r="116" spans="11:43" s="42" customFormat="1" ht="13.2" x14ac:dyDescent="0.25">
      <c r="K116" s="2"/>
      <c r="AM116" s="9"/>
    </row>
    <row r="117" spans="11:43" s="42" customFormat="1" ht="13.2" x14ac:dyDescent="0.25">
      <c r="K117" s="2"/>
      <c r="AM117" s="11"/>
    </row>
    <row r="118" spans="11:43" s="42" customFormat="1" ht="13.2" x14ac:dyDescent="0.25">
      <c r="K118" s="2"/>
      <c r="AM118" s="9"/>
    </row>
    <row r="119" spans="11:43" s="42" customFormat="1" ht="13.2" x14ac:dyDescent="0.25">
      <c r="K119" s="5"/>
      <c r="AM119" s="9"/>
    </row>
    <row r="120" spans="11:43" s="42" customFormat="1" ht="13.2" x14ac:dyDescent="0.25">
      <c r="K120" s="2"/>
      <c r="AM120" s="9"/>
    </row>
    <row r="121" spans="11:43" s="42" customFormat="1" ht="13.2" x14ac:dyDescent="0.25">
      <c r="K121" s="2"/>
      <c r="AM121" s="9"/>
    </row>
    <row r="122" spans="11:43" s="42" customFormat="1" ht="13.2" x14ac:dyDescent="0.25">
      <c r="K122" s="2"/>
      <c r="AM122" s="9"/>
    </row>
    <row r="123" spans="11:43" s="42" customFormat="1" ht="13.2" x14ac:dyDescent="0.25">
      <c r="K123" s="2"/>
      <c r="AM123" s="9"/>
    </row>
    <row r="124" spans="11:43" s="42" customFormat="1" ht="13.2" x14ac:dyDescent="0.25">
      <c r="K124" s="2"/>
      <c r="AM124" s="11"/>
    </row>
    <row r="125" spans="11:43" s="42" customFormat="1" ht="13.2" x14ac:dyDescent="0.25">
      <c r="K125" s="2"/>
      <c r="AM125" s="9"/>
    </row>
    <row r="126" spans="11:43" s="42" customFormat="1" ht="13.2" x14ac:dyDescent="0.25">
      <c r="K126" s="2"/>
      <c r="AM126" s="19"/>
      <c r="AN126" s="45"/>
      <c r="AO126" s="45"/>
      <c r="AP126" s="45"/>
      <c r="AQ126" s="45"/>
    </row>
    <row r="127" spans="11:43" s="42" customFormat="1" ht="13.2" x14ac:dyDescent="0.25">
      <c r="K127" s="14"/>
      <c r="AM127" s="19"/>
      <c r="AN127" s="45"/>
      <c r="AO127" s="45"/>
      <c r="AP127" s="45"/>
      <c r="AQ127" s="45"/>
    </row>
    <row r="128" spans="11:43" s="42" customFormat="1" ht="13.2" x14ac:dyDescent="0.25">
      <c r="K128" s="29"/>
      <c r="AM128" s="33"/>
      <c r="AN128" s="33"/>
      <c r="AO128" s="33"/>
      <c r="AP128" s="33"/>
      <c r="AQ128" s="33"/>
    </row>
    <row r="129" spans="11:43" s="42" customFormat="1" ht="13.2" x14ac:dyDescent="0.25">
      <c r="K129" s="3"/>
      <c r="AP129" s="3"/>
      <c r="AQ129" s="2"/>
    </row>
    <row r="130" spans="11:43" s="42" customFormat="1" ht="13.2" x14ac:dyDescent="0.25">
      <c r="AM130" s="3"/>
      <c r="AN130" s="3"/>
      <c r="AO130" s="3"/>
      <c r="AP130" s="3"/>
      <c r="AQ130" s="3"/>
    </row>
    <row r="131" spans="11:43" s="42" customFormat="1" ht="13.2" x14ac:dyDescent="0.25">
      <c r="AM131" s="2"/>
      <c r="AN131" s="3"/>
      <c r="AO131" s="3"/>
      <c r="AP131" s="3"/>
      <c r="AQ131" s="3"/>
    </row>
    <row r="132" spans="11:43" s="42" customFormat="1" ht="13.2" x14ac:dyDescent="0.25">
      <c r="AM132" s="2"/>
      <c r="AN132" s="3"/>
      <c r="AO132" s="17"/>
      <c r="AP132" s="3"/>
      <c r="AQ132" s="3"/>
    </row>
    <row r="133" spans="11:43" s="42" customFormat="1" ht="13.2" x14ac:dyDescent="0.25">
      <c r="AM133" s="17"/>
      <c r="AN133" s="15"/>
      <c r="AO133" s="3"/>
      <c r="AP133" s="15"/>
      <c r="AQ133" s="15"/>
    </row>
    <row r="134" spans="11:43" s="42" customFormat="1" ht="13.2" x14ac:dyDescent="0.25"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</row>
    <row r="135" spans="11:43" s="42" customFormat="1" ht="13.2" x14ac:dyDescent="0.25"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 spans="11:43" s="42" customFormat="1" x14ac:dyDescent="0.2"/>
    <row r="137" spans="11:43" s="42" customFormat="1" x14ac:dyDescent="0.2"/>
    <row r="138" spans="11:43" s="42" customFormat="1" x14ac:dyDescent="0.2"/>
    <row r="139" spans="11:43" s="42" customFormat="1" x14ac:dyDescent="0.2"/>
    <row r="140" spans="11:43" s="42" customFormat="1" x14ac:dyDescent="0.2"/>
    <row r="141" spans="11:43" s="42" customFormat="1" x14ac:dyDescent="0.2"/>
    <row r="142" spans="11:43" s="42" customFormat="1" x14ac:dyDescent="0.2"/>
    <row r="151" spans="9:10" ht="13.2" x14ac:dyDescent="0.25">
      <c r="I151" s="1"/>
      <c r="J151" s="1"/>
    </row>
    <row r="152" spans="9:10" ht="13.2" x14ac:dyDescent="0.25">
      <c r="I152" s="1"/>
      <c r="J152" s="1"/>
    </row>
  </sheetData>
  <mergeCells count="11">
    <mergeCell ref="A7:A8"/>
    <mergeCell ref="E7:E8"/>
    <mergeCell ref="AX48:BD48"/>
    <mergeCell ref="D7:D8"/>
    <mergeCell ref="C7:C8"/>
    <mergeCell ref="B7:B8"/>
    <mergeCell ref="F7:F8"/>
    <mergeCell ref="G7:G8"/>
    <mergeCell ref="H7:H8"/>
    <mergeCell ref="I7:I8"/>
    <mergeCell ref="J7:J8"/>
  </mergeCells>
  <pageMargins left="0.70866141732283472" right="0.70866141732283472" top="0.74803149606299213" bottom="0.74803149606299213" header="0.31496062992125984" footer="0.31496062992125984"/>
  <pageSetup scale="68" orientation="portrait" r:id="rId1"/>
  <rowBreaks count="1" manualBreakCount="1">
    <brk id="87" max="16383" man="1"/>
  </rowBreaks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60"/>
  <sheetViews>
    <sheetView tabSelected="1" view="pageBreakPreview" topLeftCell="A10" zoomScaleSheetLayoutView="100" workbookViewId="0">
      <selection activeCell="BD13" sqref="BD13"/>
    </sheetView>
  </sheetViews>
  <sheetFormatPr defaultRowHeight="12" x14ac:dyDescent="0.2"/>
  <cols>
    <col min="1" max="1" width="15" customWidth="1"/>
    <col min="2" max="72" width="12.33203125" customWidth="1"/>
  </cols>
  <sheetData>
    <row r="1" spans="1:73" ht="13.2" x14ac:dyDescent="0.25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8"/>
      <c r="AG1" s="48"/>
      <c r="AH1" s="47"/>
      <c r="AI1" s="48"/>
      <c r="AJ1" s="48"/>
      <c r="AK1" s="47"/>
      <c r="AL1" s="47"/>
      <c r="AM1" s="47"/>
      <c r="AN1" s="47"/>
      <c r="AO1" s="47"/>
      <c r="AP1" s="47"/>
      <c r="AQ1" s="47"/>
      <c r="AR1" s="47"/>
      <c r="AS1" s="47"/>
      <c r="AT1" s="104"/>
      <c r="AU1" s="104"/>
      <c r="AV1" s="104"/>
      <c r="AW1" s="104"/>
      <c r="AX1" s="47"/>
      <c r="AY1" s="104"/>
      <c r="AZ1" s="104"/>
      <c r="BA1" s="104"/>
      <c r="BB1" s="104"/>
      <c r="BC1" s="104"/>
      <c r="BD1" s="104"/>
      <c r="BE1" s="104"/>
      <c r="BF1" s="47"/>
      <c r="BG1" s="104"/>
      <c r="BH1" s="104"/>
      <c r="BI1" s="104"/>
      <c r="BJ1" s="104"/>
      <c r="BK1" s="104"/>
      <c r="BL1" s="104"/>
      <c r="BM1" s="104"/>
      <c r="BN1" s="47"/>
      <c r="BO1" s="104"/>
      <c r="BP1" s="104"/>
      <c r="BQ1" s="104"/>
      <c r="BR1" s="104"/>
      <c r="BS1" s="104"/>
      <c r="BT1" s="104"/>
      <c r="BU1" s="77"/>
    </row>
    <row r="2" spans="1:73" ht="15.6" x14ac:dyDescent="0.3">
      <c r="A2" s="87"/>
      <c r="B2" s="73" t="s">
        <v>67</v>
      </c>
      <c r="C2" s="75"/>
      <c r="D2" s="75"/>
      <c r="E2" s="75"/>
      <c r="F2" s="75"/>
      <c r="G2" s="75"/>
      <c r="H2" s="75"/>
      <c r="I2" s="75"/>
      <c r="J2" s="73" t="s">
        <v>67</v>
      </c>
      <c r="K2" s="75"/>
      <c r="L2" s="75"/>
      <c r="M2" s="75"/>
      <c r="N2" s="75"/>
      <c r="O2" s="75"/>
      <c r="P2" s="75"/>
      <c r="Q2" s="75"/>
      <c r="R2" s="73" t="s">
        <v>67</v>
      </c>
      <c r="S2" s="75"/>
      <c r="T2" s="75"/>
      <c r="U2" s="75"/>
      <c r="V2" s="75"/>
      <c r="W2" s="75"/>
      <c r="X2" s="75"/>
      <c r="Y2" s="75"/>
      <c r="Z2" s="73" t="s">
        <v>67</v>
      </c>
      <c r="AA2" s="75"/>
      <c r="AB2" s="75"/>
      <c r="AC2" s="75"/>
      <c r="AD2" s="75"/>
      <c r="AE2" s="75"/>
      <c r="AF2" s="75"/>
      <c r="AG2" s="75"/>
      <c r="AH2" s="73" t="s">
        <v>67</v>
      </c>
      <c r="AI2" s="75"/>
      <c r="AJ2" s="75"/>
      <c r="AK2" s="75"/>
      <c r="AL2" s="75"/>
      <c r="AM2" s="75"/>
      <c r="AN2" s="75"/>
      <c r="AO2" s="75"/>
      <c r="AP2" s="73" t="s">
        <v>67</v>
      </c>
      <c r="AQ2" s="75"/>
      <c r="AR2" s="75"/>
      <c r="AS2" s="75"/>
      <c r="AT2" s="77"/>
      <c r="AU2" s="77"/>
      <c r="AV2" s="77"/>
      <c r="AW2" s="77"/>
      <c r="AX2" s="73" t="s">
        <v>67</v>
      </c>
      <c r="AY2" s="77"/>
      <c r="AZ2" s="77"/>
      <c r="BA2" s="77"/>
      <c r="BB2" s="77"/>
      <c r="BC2" s="77"/>
      <c r="BD2" s="77"/>
      <c r="BE2" s="77"/>
      <c r="BF2" s="73" t="s">
        <v>67</v>
      </c>
      <c r="BG2" s="77"/>
      <c r="BH2" s="77"/>
      <c r="BI2" s="77"/>
      <c r="BJ2" s="77"/>
      <c r="BK2" s="77"/>
      <c r="BL2" s="77"/>
      <c r="BM2" s="77"/>
      <c r="BN2" s="73" t="s">
        <v>67</v>
      </c>
      <c r="BO2" s="77"/>
      <c r="BP2" s="77"/>
      <c r="BQ2" s="77"/>
      <c r="BR2" s="77"/>
      <c r="BS2" s="77"/>
      <c r="BT2" s="77"/>
      <c r="BU2" s="77"/>
    </row>
    <row r="3" spans="1:73" ht="15.6" x14ac:dyDescent="0.3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77"/>
      <c r="AU3" s="77"/>
      <c r="AV3" s="77"/>
      <c r="AW3" s="77"/>
      <c r="AX3" s="51"/>
      <c r="AY3" s="77"/>
      <c r="AZ3" s="77"/>
      <c r="BA3" s="77"/>
      <c r="BB3" s="77"/>
      <c r="BC3" s="77"/>
      <c r="BD3" s="77"/>
      <c r="BE3" s="77"/>
      <c r="BF3" s="51"/>
      <c r="BG3" s="77"/>
      <c r="BH3" s="77"/>
      <c r="BI3" s="77"/>
      <c r="BJ3" s="77"/>
      <c r="BK3" s="77"/>
      <c r="BL3" s="77"/>
      <c r="BM3" s="77"/>
      <c r="BN3" s="51"/>
      <c r="BO3" s="77"/>
      <c r="BP3" s="77"/>
      <c r="BQ3" s="77"/>
      <c r="BR3" s="77"/>
      <c r="BS3" s="77"/>
      <c r="BT3" s="77"/>
      <c r="BU3" s="77"/>
    </row>
    <row r="4" spans="1:73" ht="15.6" x14ac:dyDescent="0.3">
      <c r="A4" s="87"/>
      <c r="B4" s="73" t="s">
        <v>42</v>
      </c>
      <c r="C4" s="75"/>
      <c r="D4" s="75"/>
      <c r="E4" s="75"/>
      <c r="F4" s="75"/>
      <c r="G4" s="75"/>
      <c r="H4" s="75"/>
      <c r="I4" s="75"/>
      <c r="J4" s="73" t="s">
        <v>42</v>
      </c>
      <c r="K4" s="75"/>
      <c r="L4" s="75"/>
      <c r="M4" s="75"/>
      <c r="N4" s="75"/>
      <c r="O4" s="75"/>
      <c r="P4" s="75"/>
      <c r="Q4" s="75"/>
      <c r="R4" s="73" t="s">
        <v>42</v>
      </c>
      <c r="S4" s="75"/>
      <c r="T4" s="75"/>
      <c r="U4" s="75"/>
      <c r="V4" s="75"/>
      <c r="W4" s="75"/>
      <c r="X4" s="75"/>
      <c r="Y4" s="75"/>
      <c r="Z4" s="73" t="s">
        <v>42</v>
      </c>
      <c r="AA4" s="75"/>
      <c r="AB4" s="75"/>
      <c r="AC4" s="75"/>
      <c r="AD4" s="75"/>
      <c r="AE4" s="75"/>
      <c r="AF4" s="75"/>
      <c r="AG4" s="75"/>
      <c r="AH4" s="73" t="s">
        <v>42</v>
      </c>
      <c r="AI4" s="75"/>
      <c r="AJ4" s="75"/>
      <c r="AK4" s="75"/>
      <c r="AL4" s="75"/>
      <c r="AM4" s="75"/>
      <c r="AN4" s="75"/>
      <c r="AO4" s="75"/>
      <c r="AP4" s="73" t="s">
        <v>42</v>
      </c>
      <c r="AQ4" s="75"/>
      <c r="AR4" s="75"/>
      <c r="AS4" s="75"/>
      <c r="AT4" s="77"/>
      <c r="AU4" s="77"/>
      <c r="AV4" s="77"/>
      <c r="AW4" s="77"/>
      <c r="AX4" s="73" t="s">
        <v>42</v>
      </c>
      <c r="AY4" s="77"/>
      <c r="AZ4" s="77"/>
      <c r="BA4" s="77"/>
      <c r="BB4" s="77"/>
      <c r="BC4" s="77"/>
      <c r="BD4" s="77"/>
      <c r="BE4" s="77"/>
      <c r="BF4" s="73" t="s">
        <v>42</v>
      </c>
      <c r="BG4" s="77"/>
      <c r="BH4" s="77"/>
      <c r="BI4" s="77"/>
      <c r="BJ4" s="77"/>
      <c r="BK4" s="77"/>
      <c r="BL4" s="77"/>
      <c r="BM4" s="77"/>
      <c r="BN4" s="73" t="s">
        <v>42</v>
      </c>
      <c r="BO4" s="77"/>
      <c r="BP4" s="77"/>
      <c r="BQ4" s="77"/>
      <c r="BR4" s="77"/>
      <c r="BS4" s="77"/>
      <c r="BT4" s="77"/>
      <c r="BU4" s="77"/>
    </row>
    <row r="5" spans="1:73" ht="15" customHeight="1" x14ac:dyDescent="0.25">
      <c r="A5" s="89"/>
      <c r="B5" s="74" t="s">
        <v>76</v>
      </c>
      <c r="C5" s="76"/>
      <c r="D5" s="76"/>
      <c r="E5" s="76"/>
      <c r="F5" s="76"/>
      <c r="G5" s="76"/>
      <c r="H5" s="76"/>
      <c r="I5" s="76"/>
      <c r="J5" s="74" t="s">
        <v>76</v>
      </c>
      <c r="K5" s="76"/>
      <c r="L5" s="76"/>
      <c r="M5" s="76"/>
      <c r="N5" s="76"/>
      <c r="O5" s="76"/>
      <c r="P5" s="76"/>
      <c r="Q5" s="76"/>
      <c r="R5" s="74" t="s">
        <v>76</v>
      </c>
      <c r="S5" s="76"/>
      <c r="T5" s="76"/>
      <c r="U5" s="76"/>
      <c r="V5" s="76"/>
      <c r="W5" s="76"/>
      <c r="X5" s="76"/>
      <c r="Y5" s="76"/>
      <c r="Z5" s="74" t="s">
        <v>76</v>
      </c>
      <c r="AA5" s="76"/>
      <c r="AB5" s="76"/>
      <c r="AC5" s="76"/>
      <c r="AD5" s="76"/>
      <c r="AE5" s="76"/>
      <c r="AF5" s="76"/>
      <c r="AG5" s="76"/>
      <c r="AH5" s="74" t="s">
        <v>76</v>
      </c>
      <c r="AI5" s="76"/>
      <c r="AJ5" s="76"/>
      <c r="AK5" s="76"/>
      <c r="AL5" s="76"/>
      <c r="AM5" s="76"/>
      <c r="AN5" s="76"/>
      <c r="AO5" s="76"/>
      <c r="AP5" s="74" t="s">
        <v>76</v>
      </c>
      <c r="AQ5" s="76"/>
      <c r="AR5" s="76"/>
      <c r="AS5" s="76"/>
      <c r="AT5" s="77"/>
      <c r="AU5" s="77"/>
      <c r="AV5" s="77"/>
      <c r="AW5" s="77"/>
      <c r="AX5" s="74" t="s">
        <v>76</v>
      </c>
      <c r="AY5" s="77"/>
      <c r="AZ5" s="77"/>
      <c r="BA5" s="77"/>
      <c r="BB5" s="77"/>
      <c r="BC5" s="77"/>
      <c r="BD5" s="77"/>
      <c r="BE5" s="77"/>
      <c r="BF5" s="74" t="s">
        <v>76</v>
      </c>
      <c r="BG5" s="77"/>
      <c r="BH5" s="77"/>
      <c r="BI5" s="77"/>
      <c r="BJ5" s="77"/>
      <c r="BK5" s="77"/>
      <c r="BL5" s="77"/>
      <c r="BM5" s="77"/>
      <c r="BN5" s="74" t="s">
        <v>76</v>
      </c>
      <c r="BO5" s="77"/>
      <c r="BP5" s="77"/>
      <c r="BQ5" s="77"/>
      <c r="BR5" s="77"/>
      <c r="BS5" s="77"/>
      <c r="BT5" s="77"/>
      <c r="BU5" s="77"/>
    </row>
    <row r="6" spans="1:73" ht="13.8" x14ac:dyDescent="0.25">
      <c r="A6" s="53"/>
      <c r="B6" s="34" t="s">
        <v>77</v>
      </c>
      <c r="C6" s="34"/>
      <c r="D6" s="34"/>
      <c r="E6" s="34"/>
      <c r="F6" s="34"/>
      <c r="G6" s="34"/>
      <c r="H6" s="34"/>
      <c r="I6" s="117"/>
      <c r="J6" s="34" t="s">
        <v>77</v>
      </c>
      <c r="K6" s="34"/>
      <c r="L6" s="34"/>
      <c r="M6" s="34"/>
      <c r="N6" s="34"/>
      <c r="O6" s="34"/>
      <c r="P6" s="34"/>
      <c r="Q6" s="117"/>
      <c r="R6" s="34" t="s">
        <v>77</v>
      </c>
      <c r="S6" s="34"/>
      <c r="T6" s="34"/>
      <c r="U6" s="34"/>
      <c r="V6" s="34"/>
      <c r="W6" s="34"/>
      <c r="X6" s="34"/>
      <c r="Y6" s="117"/>
      <c r="Z6" s="34" t="s">
        <v>77</v>
      </c>
      <c r="AA6" s="34"/>
      <c r="AB6" s="35"/>
      <c r="AC6" s="35"/>
      <c r="AD6" s="35"/>
      <c r="AE6" s="35"/>
      <c r="AF6" s="34"/>
      <c r="AG6" s="117"/>
      <c r="AH6" s="34" t="s">
        <v>77</v>
      </c>
      <c r="AI6" s="34"/>
      <c r="AJ6" s="34"/>
      <c r="AK6" s="34"/>
      <c r="AL6" s="34"/>
      <c r="AM6" s="34"/>
      <c r="AN6" s="34"/>
      <c r="AO6" s="117"/>
      <c r="AP6" s="34" t="s">
        <v>77</v>
      </c>
      <c r="AQ6" s="34"/>
      <c r="AR6" s="34"/>
      <c r="AS6" s="34"/>
      <c r="AT6" s="78"/>
      <c r="AU6" s="78"/>
      <c r="AV6" s="78"/>
      <c r="AW6" s="77"/>
      <c r="AX6" s="34" t="s">
        <v>77</v>
      </c>
      <c r="AY6" s="78"/>
      <c r="AZ6" s="78"/>
      <c r="BA6" s="78"/>
      <c r="BB6" s="78"/>
      <c r="BC6" s="78"/>
      <c r="BD6" s="78"/>
      <c r="BE6" s="77"/>
      <c r="BF6" s="34" t="s">
        <v>77</v>
      </c>
      <c r="BG6" s="78"/>
      <c r="BH6" s="78"/>
      <c r="BI6" s="78"/>
      <c r="BJ6" s="78"/>
      <c r="BK6" s="78"/>
      <c r="BL6" s="78"/>
      <c r="BM6" s="77"/>
      <c r="BN6" s="34" t="s">
        <v>77</v>
      </c>
      <c r="BO6" s="78"/>
      <c r="BP6" s="78"/>
      <c r="BQ6" s="78"/>
      <c r="BR6" s="78"/>
      <c r="BS6" s="78"/>
      <c r="BT6" s="78"/>
      <c r="BU6" s="77"/>
    </row>
    <row r="7" spans="1:73" ht="14.25" customHeight="1" x14ac:dyDescent="0.25">
      <c r="A7" s="145" t="s">
        <v>50</v>
      </c>
      <c r="B7" s="147" t="s">
        <v>66</v>
      </c>
      <c r="C7" s="144"/>
      <c r="D7" s="144"/>
      <c r="E7" s="144"/>
      <c r="F7" s="144"/>
      <c r="G7" s="144"/>
      <c r="H7" s="144"/>
      <c r="I7" s="110"/>
      <c r="J7" s="144" t="s">
        <v>66</v>
      </c>
      <c r="K7" s="144"/>
      <c r="L7" s="144"/>
      <c r="M7" s="144"/>
      <c r="N7" s="144"/>
      <c r="O7" s="144"/>
      <c r="P7" s="144"/>
      <c r="Q7" s="110"/>
      <c r="R7" s="144" t="s">
        <v>66</v>
      </c>
      <c r="S7" s="144"/>
      <c r="T7" s="144"/>
      <c r="U7" s="144"/>
      <c r="V7" s="144"/>
      <c r="W7" s="144"/>
      <c r="X7" s="144"/>
      <c r="Y7" s="110"/>
      <c r="Z7" s="144" t="s">
        <v>66</v>
      </c>
      <c r="AA7" s="144"/>
      <c r="AB7" s="144"/>
      <c r="AC7" s="144"/>
      <c r="AD7" s="144"/>
      <c r="AE7" s="144"/>
      <c r="AF7" s="144"/>
      <c r="AG7" s="110"/>
      <c r="AH7" s="144" t="s">
        <v>71</v>
      </c>
      <c r="AI7" s="144"/>
      <c r="AJ7" s="144"/>
      <c r="AK7" s="144"/>
      <c r="AL7" s="144"/>
      <c r="AM7" s="144"/>
      <c r="AN7" s="144"/>
      <c r="AO7" s="110"/>
      <c r="AP7" s="144" t="s">
        <v>71</v>
      </c>
      <c r="AQ7" s="144"/>
      <c r="AR7" s="144"/>
      <c r="AS7" s="144"/>
      <c r="AT7" s="144"/>
      <c r="AU7" s="144"/>
      <c r="AV7" s="144"/>
      <c r="AW7" s="110"/>
      <c r="AX7" s="144" t="s">
        <v>71</v>
      </c>
      <c r="AY7" s="144"/>
      <c r="AZ7" s="144"/>
      <c r="BA7" s="144"/>
      <c r="BB7" s="144"/>
      <c r="BC7" s="144"/>
      <c r="BD7" s="144"/>
      <c r="BE7" s="110"/>
      <c r="BF7" s="144" t="s">
        <v>71</v>
      </c>
      <c r="BG7" s="144"/>
      <c r="BH7" s="144"/>
      <c r="BI7" s="144"/>
      <c r="BJ7" s="144"/>
      <c r="BK7" s="144"/>
      <c r="BL7" s="144"/>
      <c r="BM7" s="110"/>
      <c r="BN7" s="142" t="s">
        <v>73</v>
      </c>
      <c r="BO7" s="142"/>
      <c r="BP7" s="142"/>
      <c r="BQ7" s="142"/>
      <c r="BR7" s="142"/>
      <c r="BS7" s="142"/>
      <c r="BT7" s="142"/>
      <c r="BU7" s="129"/>
    </row>
    <row r="8" spans="1:73" ht="25.5" customHeight="1" x14ac:dyDescent="0.2">
      <c r="A8" s="146"/>
      <c r="B8" s="148" t="s">
        <v>61</v>
      </c>
      <c r="C8" s="141"/>
      <c r="D8" s="141"/>
      <c r="E8" s="141"/>
      <c r="F8" s="141"/>
      <c r="G8" s="141"/>
      <c r="H8" s="141"/>
      <c r="I8" s="118"/>
      <c r="J8" s="141" t="s">
        <v>2</v>
      </c>
      <c r="K8" s="141"/>
      <c r="L8" s="141"/>
      <c r="M8" s="141"/>
      <c r="N8" s="141"/>
      <c r="O8" s="141"/>
      <c r="P8" s="141"/>
      <c r="Q8" s="118"/>
      <c r="R8" s="141" t="s">
        <v>47</v>
      </c>
      <c r="S8" s="141"/>
      <c r="T8" s="141"/>
      <c r="U8" s="141"/>
      <c r="V8" s="141"/>
      <c r="W8" s="141"/>
      <c r="X8" s="141"/>
      <c r="Y8" s="118"/>
      <c r="Z8" s="141" t="s">
        <v>62</v>
      </c>
      <c r="AA8" s="141"/>
      <c r="AB8" s="141"/>
      <c r="AC8" s="141"/>
      <c r="AD8" s="141"/>
      <c r="AE8" s="141"/>
      <c r="AF8" s="141"/>
      <c r="AG8" s="118"/>
      <c r="AH8" s="141" t="s">
        <v>49</v>
      </c>
      <c r="AI8" s="141"/>
      <c r="AJ8" s="141"/>
      <c r="AK8" s="141"/>
      <c r="AL8" s="141"/>
      <c r="AM8" s="141"/>
      <c r="AN8" s="141"/>
      <c r="AO8" s="118"/>
      <c r="AP8" s="141" t="s">
        <v>1</v>
      </c>
      <c r="AQ8" s="141"/>
      <c r="AR8" s="141"/>
      <c r="AS8" s="141"/>
      <c r="AT8" s="141"/>
      <c r="AU8" s="141"/>
      <c r="AV8" s="141"/>
      <c r="AW8" s="118"/>
      <c r="AX8" s="141" t="s">
        <v>0</v>
      </c>
      <c r="AY8" s="141"/>
      <c r="AZ8" s="141"/>
      <c r="BA8" s="141"/>
      <c r="BB8" s="141"/>
      <c r="BC8" s="141"/>
      <c r="BD8" s="141"/>
      <c r="BE8" s="118"/>
      <c r="BF8" s="141" t="s">
        <v>60</v>
      </c>
      <c r="BG8" s="141"/>
      <c r="BH8" s="141"/>
      <c r="BI8" s="141"/>
      <c r="BJ8" s="141"/>
      <c r="BK8" s="141"/>
      <c r="BL8" s="141"/>
      <c r="BM8" s="118"/>
      <c r="BN8" s="143"/>
      <c r="BO8" s="143"/>
      <c r="BP8" s="143"/>
      <c r="BQ8" s="143"/>
      <c r="BR8" s="143"/>
      <c r="BS8" s="143"/>
      <c r="BT8" s="143"/>
      <c r="BU8" s="77"/>
    </row>
    <row r="9" spans="1:73" ht="13.2" x14ac:dyDescent="0.25">
      <c r="A9" s="92"/>
      <c r="B9" s="106">
        <v>2009</v>
      </c>
      <c r="C9" s="106">
        <v>2010</v>
      </c>
      <c r="D9" s="106">
        <v>2011</v>
      </c>
      <c r="E9" s="106">
        <v>2012</v>
      </c>
      <c r="F9" s="106">
        <v>2013</v>
      </c>
      <c r="G9" s="106">
        <v>2014</v>
      </c>
      <c r="H9" s="113">
        <v>2015</v>
      </c>
      <c r="I9" s="131">
        <v>2016</v>
      </c>
      <c r="J9" s="115">
        <v>2009</v>
      </c>
      <c r="K9" s="106">
        <v>2010</v>
      </c>
      <c r="L9" s="106">
        <v>2011</v>
      </c>
      <c r="M9" s="106">
        <v>2012</v>
      </c>
      <c r="N9" s="106">
        <v>2013</v>
      </c>
      <c r="O9" s="106">
        <v>2014</v>
      </c>
      <c r="P9" s="106">
        <v>2015</v>
      </c>
      <c r="Q9" s="122">
        <v>2016</v>
      </c>
      <c r="R9" s="115">
        <v>2009</v>
      </c>
      <c r="S9" s="106">
        <v>2010</v>
      </c>
      <c r="T9" s="106">
        <v>2011</v>
      </c>
      <c r="U9" s="106">
        <v>2012</v>
      </c>
      <c r="V9" s="106">
        <v>2013</v>
      </c>
      <c r="W9" s="106">
        <v>2014</v>
      </c>
      <c r="X9" s="106">
        <v>2015</v>
      </c>
      <c r="Y9" s="122">
        <v>2016</v>
      </c>
      <c r="Z9" s="115">
        <v>2009</v>
      </c>
      <c r="AA9" s="106">
        <v>2010</v>
      </c>
      <c r="AB9" s="106">
        <v>2011</v>
      </c>
      <c r="AC9" s="106">
        <v>2012</v>
      </c>
      <c r="AD9" s="106">
        <v>2013</v>
      </c>
      <c r="AE9" s="106">
        <v>2014</v>
      </c>
      <c r="AF9" s="106">
        <v>2015</v>
      </c>
      <c r="AG9" s="122">
        <v>2016</v>
      </c>
      <c r="AH9" s="115">
        <v>2009</v>
      </c>
      <c r="AI9" s="106">
        <v>2010</v>
      </c>
      <c r="AJ9" s="106">
        <v>2011</v>
      </c>
      <c r="AK9" s="106">
        <v>2012</v>
      </c>
      <c r="AL9" s="106">
        <v>2013</v>
      </c>
      <c r="AM9" s="106">
        <v>2014</v>
      </c>
      <c r="AN9" s="106">
        <v>2015</v>
      </c>
      <c r="AO9" s="122">
        <v>2016</v>
      </c>
      <c r="AP9" s="115">
        <v>2009</v>
      </c>
      <c r="AQ9" s="106">
        <v>2010</v>
      </c>
      <c r="AR9" s="106">
        <v>2011</v>
      </c>
      <c r="AS9" s="106">
        <v>2012</v>
      </c>
      <c r="AT9" s="106">
        <v>2013</v>
      </c>
      <c r="AU9" s="106">
        <v>2014</v>
      </c>
      <c r="AV9" s="106">
        <v>2015</v>
      </c>
      <c r="AW9" s="122">
        <v>2016</v>
      </c>
      <c r="AX9" s="115">
        <v>2009</v>
      </c>
      <c r="AY9" s="106">
        <v>2010</v>
      </c>
      <c r="AZ9" s="106">
        <v>2011</v>
      </c>
      <c r="BA9" s="106">
        <v>2012</v>
      </c>
      <c r="BB9" s="106">
        <v>2013</v>
      </c>
      <c r="BC9" s="106">
        <v>2014</v>
      </c>
      <c r="BD9" s="106">
        <v>2015</v>
      </c>
      <c r="BE9" s="122">
        <v>2016</v>
      </c>
      <c r="BF9" s="115">
        <v>2009</v>
      </c>
      <c r="BG9" s="106">
        <v>2010</v>
      </c>
      <c r="BH9" s="106">
        <v>2011</v>
      </c>
      <c r="BI9" s="106">
        <v>2012</v>
      </c>
      <c r="BJ9" s="106">
        <v>2013</v>
      </c>
      <c r="BK9" s="106">
        <v>2014</v>
      </c>
      <c r="BL9" s="106">
        <v>2015</v>
      </c>
      <c r="BM9" s="122">
        <v>2016</v>
      </c>
      <c r="BN9" s="115">
        <v>2009</v>
      </c>
      <c r="BO9" s="106">
        <v>2010</v>
      </c>
      <c r="BP9" s="106">
        <v>2011</v>
      </c>
      <c r="BQ9" s="106">
        <v>2012</v>
      </c>
      <c r="BR9" s="106">
        <v>2013</v>
      </c>
      <c r="BS9" s="106">
        <v>2014</v>
      </c>
      <c r="BT9" s="106">
        <v>2015</v>
      </c>
      <c r="BU9" s="106">
        <v>2016</v>
      </c>
    </row>
    <row r="10" spans="1:73" ht="13.2" x14ac:dyDescent="0.25">
      <c r="A10" s="79">
        <v>1</v>
      </c>
      <c r="B10" s="84">
        <v>2</v>
      </c>
      <c r="C10" s="107">
        <v>3</v>
      </c>
      <c r="D10" s="107">
        <v>4</v>
      </c>
      <c r="E10" s="83">
        <v>5</v>
      </c>
      <c r="F10" s="84">
        <v>6</v>
      </c>
      <c r="G10" s="107">
        <v>7</v>
      </c>
      <c r="H10" s="114">
        <v>8</v>
      </c>
      <c r="I10" s="107">
        <v>9</v>
      </c>
      <c r="J10" s="116">
        <v>10</v>
      </c>
      <c r="K10" s="84">
        <v>11</v>
      </c>
      <c r="L10" s="107">
        <v>12</v>
      </c>
      <c r="M10" s="107">
        <v>13</v>
      </c>
      <c r="N10" s="83">
        <v>14</v>
      </c>
      <c r="O10" s="84">
        <v>15</v>
      </c>
      <c r="P10" s="107">
        <v>16</v>
      </c>
      <c r="Q10" s="123">
        <v>17</v>
      </c>
      <c r="R10" s="125">
        <v>18</v>
      </c>
      <c r="S10" s="83">
        <v>19</v>
      </c>
      <c r="T10" s="84">
        <v>20</v>
      </c>
      <c r="U10" s="107">
        <v>21</v>
      </c>
      <c r="V10" s="107">
        <v>22</v>
      </c>
      <c r="W10" s="83">
        <v>23</v>
      </c>
      <c r="X10" s="84">
        <v>24</v>
      </c>
      <c r="Y10" s="126">
        <v>25</v>
      </c>
      <c r="Z10" s="125">
        <v>26</v>
      </c>
      <c r="AA10" s="107">
        <v>27</v>
      </c>
      <c r="AB10" s="83">
        <v>28</v>
      </c>
      <c r="AC10" s="84">
        <v>29</v>
      </c>
      <c r="AD10" s="107">
        <v>30</v>
      </c>
      <c r="AE10" s="107">
        <v>31</v>
      </c>
      <c r="AF10" s="83">
        <v>32</v>
      </c>
      <c r="AG10" s="128">
        <v>33</v>
      </c>
      <c r="AH10" s="127">
        <v>34</v>
      </c>
      <c r="AI10" s="107">
        <v>35</v>
      </c>
      <c r="AJ10" s="107">
        <v>36</v>
      </c>
      <c r="AK10" s="83">
        <v>37</v>
      </c>
      <c r="AL10" s="84">
        <v>38</v>
      </c>
      <c r="AM10" s="107">
        <v>39</v>
      </c>
      <c r="AN10" s="107">
        <v>40</v>
      </c>
      <c r="AO10" s="123">
        <v>41</v>
      </c>
      <c r="AP10" s="116">
        <v>42</v>
      </c>
      <c r="AQ10" s="84">
        <v>43</v>
      </c>
      <c r="AR10" s="107">
        <v>44</v>
      </c>
      <c r="AS10" s="107">
        <v>45</v>
      </c>
      <c r="AT10" s="83">
        <v>46</v>
      </c>
      <c r="AU10" s="84">
        <v>47</v>
      </c>
      <c r="AV10" s="107">
        <v>48</v>
      </c>
      <c r="AW10" s="123">
        <v>49</v>
      </c>
      <c r="AX10" s="125">
        <v>50</v>
      </c>
      <c r="AY10" s="83">
        <v>51</v>
      </c>
      <c r="AZ10" s="84">
        <v>52</v>
      </c>
      <c r="BA10" s="107">
        <v>53</v>
      </c>
      <c r="BB10" s="107">
        <v>54</v>
      </c>
      <c r="BC10" s="83">
        <v>55</v>
      </c>
      <c r="BD10" s="84">
        <v>56</v>
      </c>
      <c r="BE10" s="126">
        <v>57</v>
      </c>
      <c r="BF10" s="125">
        <v>58</v>
      </c>
      <c r="BG10" s="107">
        <v>59</v>
      </c>
      <c r="BH10" s="83">
        <v>60</v>
      </c>
      <c r="BI10" s="84">
        <v>61</v>
      </c>
      <c r="BJ10" s="107">
        <v>62</v>
      </c>
      <c r="BK10" s="107">
        <v>63</v>
      </c>
      <c r="BL10" s="83">
        <v>64</v>
      </c>
      <c r="BM10" s="128">
        <v>65</v>
      </c>
      <c r="BN10" s="127">
        <v>66</v>
      </c>
      <c r="BO10" s="107">
        <v>67</v>
      </c>
      <c r="BP10" s="107">
        <v>68</v>
      </c>
      <c r="BQ10" s="83">
        <v>69</v>
      </c>
      <c r="BR10" s="84">
        <v>70</v>
      </c>
      <c r="BS10" s="107">
        <v>71</v>
      </c>
      <c r="BT10" s="107">
        <v>72</v>
      </c>
      <c r="BU10" s="107">
        <v>73</v>
      </c>
    </row>
    <row r="11" spans="1:73" ht="13.2" x14ac:dyDescent="0.25">
      <c r="A11" s="55" t="s">
        <v>3</v>
      </c>
      <c r="B11" s="81"/>
      <c r="C11" s="81"/>
      <c r="D11" s="81"/>
      <c r="E11" s="81"/>
      <c r="F11" s="81"/>
      <c r="G11" s="81"/>
      <c r="H11" s="81"/>
      <c r="I11" s="124"/>
      <c r="J11" s="81"/>
      <c r="K11" s="81"/>
      <c r="L11" s="81"/>
      <c r="M11" s="81"/>
      <c r="N11" s="81"/>
      <c r="O11" s="81"/>
      <c r="P11" s="81"/>
      <c r="Q11" s="124"/>
      <c r="R11" s="81"/>
      <c r="S11" s="81"/>
      <c r="T11" s="81"/>
      <c r="U11" s="81"/>
      <c r="V11" s="81"/>
      <c r="W11" s="81"/>
      <c r="X11" s="81"/>
      <c r="Y11" s="124"/>
      <c r="Z11" s="81"/>
      <c r="AA11" s="81"/>
      <c r="AB11" s="81"/>
      <c r="AC11" s="81"/>
      <c r="AD11" s="81"/>
      <c r="AE11" s="81"/>
      <c r="AF11" s="81"/>
      <c r="AG11" s="124"/>
      <c r="AH11" s="81"/>
      <c r="AI11" s="81"/>
      <c r="AJ11" s="81"/>
      <c r="AK11" s="81"/>
      <c r="AL11" s="81"/>
      <c r="AM11" s="81"/>
      <c r="AN11" s="81"/>
      <c r="AO11" s="124"/>
      <c r="AP11" s="81"/>
      <c r="AQ11" s="81"/>
      <c r="AR11" s="81"/>
      <c r="AS11" s="81"/>
      <c r="AT11" s="81"/>
      <c r="AU11" s="81"/>
      <c r="AV11" s="81"/>
      <c r="AW11" s="124"/>
      <c r="AX11" s="81"/>
      <c r="AY11" s="81"/>
      <c r="AZ11" s="81"/>
      <c r="BA11" s="81"/>
      <c r="BB11" s="81"/>
      <c r="BC11" s="81"/>
      <c r="BD11" s="81"/>
      <c r="BE11" s="124"/>
      <c r="BF11" s="81"/>
      <c r="BG11" s="81"/>
      <c r="BH11" s="81"/>
      <c r="BI11" s="81"/>
      <c r="BJ11" s="81"/>
      <c r="BK11" s="81"/>
      <c r="BL11" s="81"/>
      <c r="BM11" s="124"/>
      <c r="BN11" s="81"/>
      <c r="BO11" s="81"/>
      <c r="BP11" s="81"/>
      <c r="BQ11" s="81"/>
      <c r="BR11" s="81"/>
      <c r="BS11" s="81"/>
      <c r="BT11" s="81"/>
      <c r="BU11" s="130"/>
    </row>
    <row r="12" spans="1:73" ht="13.2" x14ac:dyDescent="0.25">
      <c r="A12" s="57" t="s">
        <v>4</v>
      </c>
      <c r="B12" s="82">
        <v>53820</v>
      </c>
      <c r="C12" s="82">
        <v>56664</v>
      </c>
      <c r="D12" s="82">
        <v>60622</v>
      </c>
      <c r="E12" s="82">
        <v>70075</v>
      </c>
      <c r="F12" s="82">
        <v>73787</v>
      </c>
      <c r="G12" s="82">
        <v>35843</v>
      </c>
      <c r="H12" s="82">
        <v>38269</v>
      </c>
      <c r="I12" s="120">
        <v>41187</v>
      </c>
      <c r="J12" s="82">
        <v>9554</v>
      </c>
      <c r="K12" s="82">
        <v>103290</v>
      </c>
      <c r="L12" s="82">
        <v>114923</v>
      </c>
      <c r="M12" s="82">
        <v>129322</v>
      </c>
      <c r="N12" s="82">
        <v>125962</v>
      </c>
      <c r="O12" s="82">
        <v>69181</v>
      </c>
      <c r="P12" s="82">
        <v>73324</v>
      </c>
      <c r="Q12" s="120">
        <v>77538</v>
      </c>
      <c r="R12" s="82">
        <v>381488</v>
      </c>
      <c r="S12" s="82">
        <v>434448</v>
      </c>
      <c r="T12" s="82">
        <v>513266</v>
      </c>
      <c r="U12" s="82">
        <v>576480</v>
      </c>
      <c r="V12" s="82">
        <v>546813</v>
      </c>
      <c r="W12" s="82">
        <v>351396</v>
      </c>
      <c r="X12" s="82">
        <v>397126</v>
      </c>
      <c r="Y12" s="120">
        <v>444295</v>
      </c>
      <c r="Z12" s="82">
        <v>428161</v>
      </c>
      <c r="AA12" s="82">
        <f>236211+219332</f>
        <v>455543</v>
      </c>
      <c r="AB12" s="82">
        <f>241663+257147</f>
        <v>498810</v>
      </c>
      <c r="AC12" s="82">
        <f>253415+302124</f>
        <v>555539</v>
      </c>
      <c r="AD12" s="82">
        <v>554910</v>
      </c>
      <c r="AE12" s="82">
        <v>291752</v>
      </c>
      <c r="AF12" s="82">
        <v>313078</v>
      </c>
      <c r="AG12" s="120">
        <v>342028</v>
      </c>
      <c r="AH12" s="82">
        <v>5851893</v>
      </c>
      <c r="AI12" s="82">
        <v>6514593</v>
      </c>
      <c r="AJ12" s="82">
        <v>7488771</v>
      </c>
      <c r="AK12" s="82">
        <v>9291132</v>
      </c>
      <c r="AL12" s="82">
        <v>9592270</v>
      </c>
      <c r="AM12" s="82">
        <v>5431832</v>
      </c>
      <c r="AN12" s="82">
        <v>6147523</v>
      </c>
      <c r="AO12" s="120">
        <v>6824016</v>
      </c>
      <c r="AP12" s="82">
        <v>701920</v>
      </c>
      <c r="AQ12" s="82">
        <v>777746</v>
      </c>
      <c r="AR12" s="82">
        <v>880817</v>
      </c>
      <c r="AS12" s="82">
        <v>1058184</v>
      </c>
      <c r="AT12" s="82">
        <v>1077849</v>
      </c>
      <c r="AU12" s="82">
        <v>403383</v>
      </c>
      <c r="AV12" s="82">
        <v>454054</v>
      </c>
      <c r="AW12" s="120">
        <v>499884</v>
      </c>
      <c r="AX12" s="82">
        <v>29494</v>
      </c>
      <c r="AY12" s="82">
        <v>29587</v>
      </c>
      <c r="AZ12" s="82">
        <v>29652</v>
      </c>
      <c r="BA12" s="82">
        <v>30400</v>
      </c>
      <c r="BB12" s="82">
        <v>25703</v>
      </c>
      <c r="BC12" s="82">
        <v>10851</v>
      </c>
      <c r="BD12" s="82">
        <v>10878</v>
      </c>
      <c r="BE12" s="120">
        <v>10401</v>
      </c>
      <c r="BF12" s="82">
        <v>516618</v>
      </c>
      <c r="BG12" s="82">
        <f>49130+261509+229149+11480</f>
        <v>551268</v>
      </c>
      <c r="BH12" s="82">
        <f>53531+292427+242270+14258</f>
        <v>602486</v>
      </c>
      <c r="BI12" s="82">
        <f>60897+342416+289422+20461</f>
        <v>713196</v>
      </c>
      <c r="BJ12" s="82">
        <v>690409</v>
      </c>
      <c r="BK12" s="82">
        <v>233494</v>
      </c>
      <c r="BL12" s="82">
        <v>255821</v>
      </c>
      <c r="BM12" s="120">
        <v>277827</v>
      </c>
      <c r="BN12" s="82">
        <v>8058948</v>
      </c>
      <c r="BO12" s="82">
        <v>8923139</v>
      </c>
      <c r="BP12" s="82">
        <v>10189347</v>
      </c>
      <c r="BQ12" s="82">
        <v>12424328</v>
      </c>
      <c r="BR12" s="82">
        <v>12687703</v>
      </c>
      <c r="BS12" s="82">
        <v>7002143</v>
      </c>
      <c r="BT12" s="82">
        <v>7882262</v>
      </c>
      <c r="BU12" s="82">
        <v>8727558</v>
      </c>
    </row>
    <row r="13" spans="1:73" ht="13.2" x14ac:dyDescent="0.25">
      <c r="A13" s="57" t="s">
        <v>56</v>
      </c>
      <c r="B13" s="81">
        <v>682</v>
      </c>
      <c r="C13" s="81">
        <v>682</v>
      </c>
      <c r="D13" s="81" t="s">
        <v>44</v>
      </c>
      <c r="E13" s="81" t="s">
        <v>44</v>
      </c>
      <c r="F13" s="81" t="s">
        <v>44</v>
      </c>
      <c r="G13" s="81" t="s">
        <v>44</v>
      </c>
      <c r="H13" s="81" t="s">
        <v>44</v>
      </c>
      <c r="I13" s="119">
        <v>8630</v>
      </c>
      <c r="J13" s="81">
        <v>343</v>
      </c>
      <c r="K13" s="81">
        <v>343</v>
      </c>
      <c r="L13" s="81" t="s">
        <v>44</v>
      </c>
      <c r="M13" s="81" t="s">
        <v>44</v>
      </c>
      <c r="N13" s="81" t="s">
        <v>44</v>
      </c>
      <c r="O13" s="81" t="s">
        <v>44</v>
      </c>
      <c r="P13" s="81" t="s">
        <v>44</v>
      </c>
      <c r="Q13" s="119">
        <v>456</v>
      </c>
      <c r="R13" s="81">
        <v>1449</v>
      </c>
      <c r="S13" s="81">
        <v>1449</v>
      </c>
      <c r="T13" s="81" t="s">
        <v>44</v>
      </c>
      <c r="U13" s="81" t="s">
        <v>44</v>
      </c>
      <c r="V13" s="81" t="s">
        <v>44</v>
      </c>
      <c r="W13" s="81" t="s">
        <v>44</v>
      </c>
      <c r="X13" s="81" t="s">
        <v>44</v>
      </c>
      <c r="Y13" s="119">
        <v>8412</v>
      </c>
      <c r="Z13" s="81">
        <v>2956</v>
      </c>
      <c r="AA13" s="81">
        <f>2355+601</f>
        <v>2956</v>
      </c>
      <c r="AB13" s="81" t="s">
        <v>44</v>
      </c>
      <c r="AC13" s="81" t="s">
        <v>44</v>
      </c>
      <c r="AD13" s="81">
        <v>0</v>
      </c>
      <c r="AE13" s="81">
        <v>0</v>
      </c>
      <c r="AF13" s="81">
        <v>0</v>
      </c>
      <c r="AG13" s="119">
        <v>21396</v>
      </c>
      <c r="AH13" s="81">
        <v>11112</v>
      </c>
      <c r="AI13" s="81">
        <v>11112</v>
      </c>
      <c r="AJ13" s="81" t="s">
        <v>44</v>
      </c>
      <c r="AK13" s="81" t="s">
        <v>44</v>
      </c>
      <c r="AL13" s="81" t="s">
        <v>44</v>
      </c>
      <c r="AM13" s="81" t="s">
        <v>44</v>
      </c>
      <c r="AN13" s="81" t="s">
        <v>44</v>
      </c>
      <c r="AO13" s="119">
        <v>127225</v>
      </c>
      <c r="AP13" s="81">
        <v>2595</v>
      </c>
      <c r="AQ13" s="81">
        <v>2595</v>
      </c>
      <c r="AR13" s="81" t="s">
        <v>44</v>
      </c>
      <c r="AS13" s="81" t="s">
        <v>44</v>
      </c>
      <c r="AT13" s="81" t="s">
        <v>44</v>
      </c>
      <c r="AU13" s="81" t="s">
        <v>44</v>
      </c>
      <c r="AV13" s="81" t="s">
        <v>44</v>
      </c>
      <c r="AW13" s="119">
        <v>87796</v>
      </c>
      <c r="AX13" s="81">
        <v>2284</v>
      </c>
      <c r="AY13" s="81">
        <v>2284</v>
      </c>
      <c r="AZ13" s="81" t="s">
        <v>44</v>
      </c>
      <c r="BA13" s="81" t="s">
        <v>44</v>
      </c>
      <c r="BB13" s="81" t="s">
        <v>44</v>
      </c>
      <c r="BC13" s="81" t="s">
        <v>44</v>
      </c>
      <c r="BD13" s="81" t="s">
        <v>44</v>
      </c>
      <c r="BE13" s="119">
        <v>4307</v>
      </c>
      <c r="BF13" s="81">
        <v>680</v>
      </c>
      <c r="BG13" s="81">
        <f>0+345+155+180</f>
        <v>680</v>
      </c>
      <c r="BH13" s="81" t="s">
        <v>44</v>
      </c>
      <c r="BI13" s="81" t="s">
        <v>44</v>
      </c>
      <c r="BJ13" s="81">
        <v>0</v>
      </c>
      <c r="BK13" s="81">
        <v>0</v>
      </c>
      <c r="BL13" s="81">
        <v>0</v>
      </c>
      <c r="BM13" s="119">
        <v>6531</v>
      </c>
      <c r="BN13" s="81">
        <v>22101</v>
      </c>
      <c r="BO13" s="81">
        <v>22101</v>
      </c>
      <c r="BP13" s="81">
        <v>144534</v>
      </c>
      <c r="BQ13" s="81">
        <v>151279</v>
      </c>
      <c r="BR13" s="81">
        <v>151279</v>
      </c>
      <c r="BS13" s="81">
        <v>151279</v>
      </c>
      <c r="BT13" s="81">
        <v>151279</v>
      </c>
      <c r="BU13" s="81">
        <v>264753</v>
      </c>
    </row>
    <row r="14" spans="1:73" ht="13.2" x14ac:dyDescent="0.25">
      <c r="A14" s="57" t="s">
        <v>5</v>
      </c>
      <c r="B14" s="82">
        <v>13257</v>
      </c>
      <c r="C14" s="82">
        <v>13859</v>
      </c>
      <c r="D14" s="82">
        <v>14741</v>
      </c>
      <c r="E14" s="82">
        <v>15787</v>
      </c>
      <c r="F14" s="82">
        <v>18982</v>
      </c>
      <c r="G14" s="82">
        <v>18355</v>
      </c>
      <c r="H14" s="82">
        <v>19846</v>
      </c>
      <c r="I14" s="120">
        <v>22315</v>
      </c>
      <c r="J14" s="82">
        <v>19680</v>
      </c>
      <c r="K14" s="82">
        <v>24088</v>
      </c>
      <c r="L14" s="82">
        <v>28161</v>
      </c>
      <c r="M14" s="82">
        <v>33999</v>
      </c>
      <c r="N14" s="82">
        <v>42827</v>
      </c>
      <c r="O14" s="82">
        <v>49897</v>
      </c>
      <c r="P14" s="82">
        <v>53859</v>
      </c>
      <c r="Q14" s="120">
        <v>56356</v>
      </c>
      <c r="R14" s="82">
        <v>45266</v>
      </c>
      <c r="S14" s="82">
        <v>51185</v>
      </c>
      <c r="T14" s="82">
        <v>59742</v>
      </c>
      <c r="U14" s="82">
        <v>67921</v>
      </c>
      <c r="V14" s="82">
        <v>71633</v>
      </c>
      <c r="W14" s="82">
        <v>82263</v>
      </c>
      <c r="X14" s="82">
        <v>91936</v>
      </c>
      <c r="Y14" s="120">
        <v>100019</v>
      </c>
      <c r="Z14" s="82">
        <v>144188</v>
      </c>
      <c r="AA14" s="82">
        <f>124132+32473</f>
        <v>156605</v>
      </c>
      <c r="AB14" s="82">
        <f>136090+35788</f>
        <v>171878</v>
      </c>
      <c r="AC14" s="82">
        <f>144183+47296</f>
        <v>191479</v>
      </c>
      <c r="AD14" s="82">
        <v>69342</v>
      </c>
      <c r="AE14" s="82">
        <v>226612</v>
      </c>
      <c r="AF14" s="82">
        <v>243409</v>
      </c>
      <c r="AG14" s="120">
        <v>254929</v>
      </c>
      <c r="AH14" s="82">
        <v>740420</v>
      </c>
      <c r="AI14" s="82">
        <v>830836</v>
      </c>
      <c r="AJ14" s="82">
        <v>958935</v>
      </c>
      <c r="AK14" s="82">
        <v>1101265</v>
      </c>
      <c r="AL14" s="82">
        <v>1230895</v>
      </c>
      <c r="AM14" s="82">
        <v>1294932</v>
      </c>
      <c r="AN14" s="82">
        <v>1520260</v>
      </c>
      <c r="AO14" s="120">
        <v>1744543</v>
      </c>
      <c r="AP14" s="82">
        <v>203000</v>
      </c>
      <c r="AQ14" s="82">
        <v>232546</v>
      </c>
      <c r="AR14" s="82">
        <v>269605</v>
      </c>
      <c r="AS14" s="82">
        <v>311917</v>
      </c>
      <c r="AT14" s="82">
        <v>383729</v>
      </c>
      <c r="AU14" s="82">
        <v>472273</v>
      </c>
      <c r="AV14" s="82">
        <v>508135</v>
      </c>
      <c r="AW14" s="120">
        <v>509475</v>
      </c>
      <c r="AX14" s="82">
        <v>18131</v>
      </c>
      <c r="AY14" s="82">
        <v>20742</v>
      </c>
      <c r="AZ14" s="82">
        <v>20861</v>
      </c>
      <c r="BA14" s="82">
        <v>20968</v>
      </c>
      <c r="BB14" s="82">
        <v>18621</v>
      </c>
      <c r="BC14" s="82">
        <v>17750</v>
      </c>
      <c r="BD14" s="82">
        <v>16128</v>
      </c>
      <c r="BE14" s="120">
        <v>16193</v>
      </c>
      <c r="BF14" s="82">
        <v>50809</v>
      </c>
      <c r="BG14" s="82">
        <f>1225+16177+10805+25653</f>
        <v>53860</v>
      </c>
      <c r="BH14" s="82">
        <f>1243+18714+11620+26628</f>
        <v>58205</v>
      </c>
      <c r="BI14" s="82">
        <f>1248+19655+15290+27591</f>
        <v>63784</v>
      </c>
      <c r="BJ14" s="82">
        <v>41493</v>
      </c>
      <c r="BK14" s="82">
        <v>54925</v>
      </c>
      <c r="BL14" s="82">
        <v>56164</v>
      </c>
      <c r="BM14" s="120">
        <v>113560</v>
      </c>
      <c r="BN14" s="82">
        <v>1234751</v>
      </c>
      <c r="BO14" s="82">
        <v>1383721</v>
      </c>
      <c r="BP14" s="82">
        <v>1582128</v>
      </c>
      <c r="BQ14" s="82">
        <v>1807120</v>
      </c>
      <c r="BR14" s="82">
        <v>1877522</v>
      </c>
      <c r="BS14" s="82">
        <v>2217007</v>
      </c>
      <c r="BT14" s="82">
        <v>2509737</v>
      </c>
      <c r="BU14" s="82">
        <v>2817390</v>
      </c>
    </row>
    <row r="15" spans="1:73" ht="13.2" x14ac:dyDescent="0.25">
      <c r="A15" s="57" t="s">
        <v>6</v>
      </c>
      <c r="B15" s="81">
        <v>19654</v>
      </c>
      <c r="C15" s="81">
        <v>21209</v>
      </c>
      <c r="D15" s="81">
        <v>22703</v>
      </c>
      <c r="E15" s="81">
        <v>24097</v>
      </c>
      <c r="F15" s="81">
        <v>25992</v>
      </c>
      <c r="G15" s="81">
        <v>27638</v>
      </c>
      <c r="H15" s="81">
        <v>29384</v>
      </c>
      <c r="I15" s="119">
        <v>31075</v>
      </c>
      <c r="J15" s="81">
        <v>30857</v>
      </c>
      <c r="K15" s="81">
        <v>38204</v>
      </c>
      <c r="L15" s="81">
        <v>43623</v>
      </c>
      <c r="M15" s="81">
        <v>52218</v>
      </c>
      <c r="N15" s="81">
        <v>66564</v>
      </c>
      <c r="O15" s="81">
        <v>78325</v>
      </c>
      <c r="P15" s="81">
        <v>85119</v>
      </c>
      <c r="Q15" s="119">
        <v>91311</v>
      </c>
      <c r="R15" s="81" t="s">
        <v>41</v>
      </c>
      <c r="S15" s="81">
        <v>74968</v>
      </c>
      <c r="T15" s="81">
        <v>92390</v>
      </c>
      <c r="U15" s="81">
        <v>113088</v>
      </c>
      <c r="V15" s="81">
        <v>141174</v>
      </c>
      <c r="W15" s="81">
        <v>173329</v>
      </c>
      <c r="X15" s="81">
        <v>202385</v>
      </c>
      <c r="Y15" s="119">
        <v>235933</v>
      </c>
      <c r="Z15" s="81">
        <v>120588</v>
      </c>
      <c r="AA15" s="81">
        <v>66485</v>
      </c>
      <c r="AB15" s="81">
        <f>73472+0</f>
        <v>73472</v>
      </c>
      <c r="AC15" s="81">
        <v>83191</v>
      </c>
      <c r="AD15" s="81">
        <v>103211</v>
      </c>
      <c r="AE15" s="81">
        <v>109010</v>
      </c>
      <c r="AF15" s="81">
        <v>123744</v>
      </c>
      <c r="AG15" s="119">
        <v>141242</v>
      </c>
      <c r="AH15" s="81">
        <v>1364757</v>
      </c>
      <c r="AI15" s="81">
        <v>1606613</v>
      </c>
      <c r="AJ15" s="81">
        <v>1899017</v>
      </c>
      <c r="AK15" s="81">
        <v>2230069</v>
      </c>
      <c r="AL15" s="81">
        <v>2592137</v>
      </c>
      <c r="AM15" s="81">
        <v>3012463</v>
      </c>
      <c r="AN15" s="81">
        <v>3489796</v>
      </c>
      <c r="AO15" s="119">
        <v>4038839</v>
      </c>
      <c r="AP15" s="81">
        <v>103077</v>
      </c>
      <c r="AQ15" s="81">
        <v>188031</v>
      </c>
      <c r="AR15" s="81">
        <v>136845</v>
      </c>
      <c r="AS15" s="81">
        <v>160340</v>
      </c>
      <c r="AT15" s="81">
        <v>184792</v>
      </c>
      <c r="AU15" s="81">
        <v>208205</v>
      </c>
      <c r="AV15" s="81">
        <v>235762</v>
      </c>
      <c r="AW15" s="119">
        <v>266512</v>
      </c>
      <c r="AX15" s="81">
        <v>56270</v>
      </c>
      <c r="AY15" s="81">
        <v>66132</v>
      </c>
      <c r="AZ15" s="81">
        <v>75878</v>
      </c>
      <c r="BA15" s="81">
        <v>84949</v>
      </c>
      <c r="BB15" s="81">
        <v>94764</v>
      </c>
      <c r="BC15" s="81">
        <v>104240</v>
      </c>
      <c r="BD15" s="81">
        <v>113377</v>
      </c>
      <c r="BE15" s="119">
        <v>125139</v>
      </c>
      <c r="BF15" s="81">
        <v>264350</v>
      </c>
      <c r="BG15" s="81">
        <f>17500+104272+15572</f>
        <v>137344</v>
      </c>
      <c r="BH15" s="81">
        <f>196555+115214+17512</f>
        <v>329281</v>
      </c>
      <c r="BI15" s="81">
        <f>219509+126618+18801</f>
        <v>364928</v>
      </c>
      <c r="BJ15" s="81">
        <v>408593</v>
      </c>
      <c r="BK15" s="81">
        <v>450186</v>
      </c>
      <c r="BL15" s="81">
        <v>498029</v>
      </c>
      <c r="BM15" s="119">
        <v>552278</v>
      </c>
      <c r="BN15" s="81">
        <v>1959553</v>
      </c>
      <c r="BO15" s="81">
        <v>2356986</v>
      </c>
      <c r="BP15" s="81">
        <v>2673209</v>
      </c>
      <c r="BQ15" s="81">
        <v>3112880</v>
      </c>
      <c r="BR15" s="81">
        <v>3617227</v>
      </c>
      <c r="BS15" s="81">
        <v>4163396</v>
      </c>
      <c r="BT15" s="81">
        <v>4777596</v>
      </c>
      <c r="BU15" s="81">
        <v>5482329</v>
      </c>
    </row>
    <row r="16" spans="1:73" ht="13.2" x14ac:dyDescent="0.25">
      <c r="A16" s="57" t="s">
        <v>21</v>
      </c>
      <c r="B16" s="82">
        <v>41098</v>
      </c>
      <c r="C16" s="82">
        <v>7658</v>
      </c>
      <c r="D16" s="82">
        <v>8596</v>
      </c>
      <c r="E16" s="82">
        <v>12049</v>
      </c>
      <c r="F16" s="82">
        <v>13071</v>
      </c>
      <c r="G16" s="82">
        <v>48501</v>
      </c>
      <c r="H16" s="82">
        <v>52783</v>
      </c>
      <c r="I16" s="120">
        <v>58026</v>
      </c>
      <c r="J16" s="82">
        <v>6589</v>
      </c>
      <c r="K16" s="82">
        <v>7499</v>
      </c>
      <c r="L16" s="82">
        <v>8723</v>
      </c>
      <c r="M16" s="82">
        <v>13515</v>
      </c>
      <c r="N16" s="82">
        <v>15247</v>
      </c>
      <c r="O16" s="82">
        <v>18451</v>
      </c>
      <c r="P16" s="82">
        <v>20960</v>
      </c>
      <c r="Q16" s="120">
        <v>22265</v>
      </c>
      <c r="R16" s="82">
        <v>13589</v>
      </c>
      <c r="S16" s="82">
        <v>15047</v>
      </c>
      <c r="T16" s="82">
        <v>17566</v>
      </c>
      <c r="U16" s="82">
        <v>17913</v>
      </c>
      <c r="V16" s="82">
        <v>21890</v>
      </c>
      <c r="W16" s="82">
        <v>28778</v>
      </c>
      <c r="X16" s="82">
        <v>33100</v>
      </c>
      <c r="Y16" s="120">
        <v>36696</v>
      </c>
      <c r="Z16" s="82">
        <v>107791</v>
      </c>
      <c r="AA16" s="82">
        <f>78488+38434</f>
        <v>116922</v>
      </c>
      <c r="AB16" s="82">
        <f>83674+43936</f>
        <v>127610</v>
      </c>
      <c r="AC16" s="82">
        <f>91068+50373</f>
        <v>141441</v>
      </c>
      <c r="AD16" s="82">
        <v>155981</v>
      </c>
      <c r="AE16" s="82">
        <v>171840</v>
      </c>
      <c r="AF16" s="82">
        <v>186960</v>
      </c>
      <c r="AG16" s="120">
        <v>204692</v>
      </c>
      <c r="AH16" s="82">
        <v>1686424</v>
      </c>
      <c r="AI16" s="82">
        <v>1964769</v>
      </c>
      <c r="AJ16" s="82">
        <v>2232929</v>
      </c>
      <c r="AK16" s="82">
        <v>2503781</v>
      </c>
      <c r="AL16" s="82">
        <v>2768727</v>
      </c>
      <c r="AM16" s="82">
        <v>3113607</v>
      </c>
      <c r="AN16" s="82">
        <v>3471643</v>
      </c>
      <c r="AO16" s="120">
        <v>3878833</v>
      </c>
      <c r="AP16" s="82">
        <v>92437</v>
      </c>
      <c r="AQ16" s="82">
        <v>108326</v>
      </c>
      <c r="AR16" s="82">
        <v>131862</v>
      </c>
      <c r="AS16" s="82">
        <v>154529</v>
      </c>
      <c r="AT16" s="82">
        <v>175606</v>
      </c>
      <c r="AU16" s="82">
        <v>200726</v>
      </c>
      <c r="AV16" s="82">
        <v>226044</v>
      </c>
      <c r="AW16" s="120">
        <v>254921</v>
      </c>
      <c r="AX16" s="82">
        <v>11637</v>
      </c>
      <c r="AY16" s="82">
        <v>13277</v>
      </c>
      <c r="AZ16" s="82">
        <v>15062</v>
      </c>
      <c r="BA16" s="82">
        <v>16561</v>
      </c>
      <c r="BB16" s="82">
        <v>18202</v>
      </c>
      <c r="BC16" s="82">
        <v>18827</v>
      </c>
      <c r="BD16" s="82">
        <v>20251</v>
      </c>
      <c r="BE16" s="120">
        <v>21103</v>
      </c>
      <c r="BF16" s="82">
        <v>155024</v>
      </c>
      <c r="BG16" s="82">
        <f>30879+91621+72839+6936</f>
        <v>202275</v>
      </c>
      <c r="BH16" s="82">
        <f>33739+102699+78940+8311</f>
        <v>223689</v>
      </c>
      <c r="BI16" s="82">
        <f>33739+115524+85129+9857</f>
        <v>244249</v>
      </c>
      <c r="BJ16" s="82">
        <v>268518</v>
      </c>
      <c r="BK16" s="82">
        <v>270627</v>
      </c>
      <c r="BL16" s="82">
        <v>302186</v>
      </c>
      <c r="BM16" s="120">
        <v>333916</v>
      </c>
      <c r="BN16" s="82">
        <v>2114589</v>
      </c>
      <c r="BO16" s="82">
        <v>2435773</v>
      </c>
      <c r="BP16" s="82">
        <v>2766037</v>
      </c>
      <c r="BQ16" s="82">
        <v>3104038</v>
      </c>
      <c r="BR16" s="82">
        <v>3437242</v>
      </c>
      <c r="BS16" s="82">
        <v>3871357</v>
      </c>
      <c r="BT16" s="82">
        <v>4313927</v>
      </c>
      <c r="BU16" s="82">
        <v>4810452</v>
      </c>
    </row>
    <row r="17" spans="1:73" ht="15.6" x14ac:dyDescent="0.25">
      <c r="A17" s="57" t="s">
        <v>20</v>
      </c>
      <c r="B17" s="81">
        <v>7644</v>
      </c>
      <c r="C17" s="81">
        <v>8332</v>
      </c>
      <c r="D17" s="81">
        <v>8907</v>
      </c>
      <c r="E17" s="81">
        <v>9513</v>
      </c>
      <c r="F17" s="81">
        <v>9956</v>
      </c>
      <c r="G17" s="81">
        <v>10925</v>
      </c>
      <c r="H17" s="81">
        <v>11224</v>
      </c>
      <c r="I17" s="119">
        <v>11503</v>
      </c>
      <c r="J17" s="81">
        <v>12768</v>
      </c>
      <c r="K17" s="81">
        <v>13143</v>
      </c>
      <c r="L17" s="81">
        <v>13306</v>
      </c>
      <c r="M17" s="81">
        <v>14338</v>
      </c>
      <c r="N17" s="81">
        <v>15427</v>
      </c>
      <c r="O17" s="81">
        <v>16549</v>
      </c>
      <c r="P17" s="81">
        <v>17616</v>
      </c>
      <c r="Q17" s="119">
        <v>18429</v>
      </c>
      <c r="R17" s="81">
        <v>14863</v>
      </c>
      <c r="S17" s="81">
        <v>4238</v>
      </c>
      <c r="T17" s="81">
        <v>4309</v>
      </c>
      <c r="U17" s="81">
        <v>3853</v>
      </c>
      <c r="V17" s="81">
        <v>3955</v>
      </c>
      <c r="W17" s="81">
        <v>4084</v>
      </c>
      <c r="X17" s="81">
        <v>4186</v>
      </c>
      <c r="Y17" s="119">
        <v>4304</v>
      </c>
      <c r="Z17" s="81">
        <v>42755</v>
      </c>
      <c r="AA17" s="81">
        <f>37040+8218</f>
        <v>45258</v>
      </c>
      <c r="AB17" s="81">
        <f>39422+9402</f>
        <v>48824</v>
      </c>
      <c r="AC17" s="81">
        <f>42395+11447</f>
        <v>53842</v>
      </c>
      <c r="AD17" s="81">
        <v>56245</v>
      </c>
      <c r="AE17" s="81">
        <v>57711</v>
      </c>
      <c r="AF17" s="81">
        <v>59242</v>
      </c>
      <c r="AG17" s="119">
        <v>60833</v>
      </c>
      <c r="AH17" s="81">
        <v>467827</v>
      </c>
      <c r="AI17" s="81">
        <v>502042</v>
      </c>
      <c r="AJ17" s="81">
        <v>541934</v>
      </c>
      <c r="AK17" s="81">
        <v>589377</v>
      </c>
      <c r="AL17" s="81">
        <v>639594</v>
      </c>
      <c r="AM17" s="81">
        <v>690326</v>
      </c>
      <c r="AN17" s="81">
        <v>743037</v>
      </c>
      <c r="AO17" s="119">
        <v>796495</v>
      </c>
      <c r="AP17" s="81">
        <v>120425</v>
      </c>
      <c r="AQ17" s="81">
        <v>133717</v>
      </c>
      <c r="AR17" s="81">
        <v>149869</v>
      </c>
      <c r="AS17" s="81">
        <v>167544</v>
      </c>
      <c r="AT17" s="81">
        <v>184631</v>
      </c>
      <c r="AU17" s="81">
        <v>199647</v>
      </c>
      <c r="AV17" s="81">
        <v>216414</v>
      </c>
      <c r="AW17" s="119">
        <v>232767</v>
      </c>
      <c r="AX17" s="81">
        <v>1065</v>
      </c>
      <c r="AY17" s="81" t="s">
        <v>43</v>
      </c>
      <c r="AZ17" s="81" t="s">
        <v>44</v>
      </c>
      <c r="BA17" s="81" t="s">
        <v>43</v>
      </c>
      <c r="BB17" s="81" t="s">
        <v>43</v>
      </c>
      <c r="BC17" s="81" t="s">
        <v>43</v>
      </c>
      <c r="BD17" s="81" t="s">
        <v>43</v>
      </c>
      <c r="BE17" s="81" t="s">
        <v>43</v>
      </c>
      <c r="BF17" s="81">
        <v>6562</v>
      </c>
      <c r="BG17" s="81">
        <f>2562+4587</f>
        <v>7149</v>
      </c>
      <c r="BH17" s="81">
        <f>0+2890+4631</f>
        <v>7521</v>
      </c>
      <c r="BI17" s="81" t="s">
        <v>52</v>
      </c>
      <c r="BJ17" s="81">
        <v>8112</v>
      </c>
      <c r="BK17" s="81">
        <v>8269</v>
      </c>
      <c r="BL17" s="81">
        <v>8410</v>
      </c>
      <c r="BM17" s="119">
        <v>8583</v>
      </c>
      <c r="BN17" s="81">
        <v>673909</v>
      </c>
      <c r="BO17" s="81">
        <v>727042</v>
      </c>
      <c r="BP17" s="81">
        <v>790075</v>
      </c>
      <c r="BQ17" s="81">
        <v>865609</v>
      </c>
      <c r="BR17" s="81">
        <v>938372</v>
      </c>
      <c r="BS17" s="81">
        <v>1009362</v>
      </c>
      <c r="BT17" s="81">
        <v>1083668</v>
      </c>
      <c r="BU17" s="81">
        <v>1158241</v>
      </c>
    </row>
    <row r="18" spans="1:73" ht="13.2" x14ac:dyDescent="0.25">
      <c r="A18" s="57" t="s">
        <v>7</v>
      </c>
      <c r="B18" s="82">
        <v>58253</v>
      </c>
      <c r="C18" s="82">
        <v>60023</v>
      </c>
      <c r="D18" s="82">
        <v>62386</v>
      </c>
      <c r="E18" s="82">
        <v>67546</v>
      </c>
      <c r="F18" s="82">
        <v>70615</v>
      </c>
      <c r="G18" s="82">
        <v>72998</v>
      </c>
      <c r="H18" s="82">
        <v>76435</v>
      </c>
      <c r="I18" s="120">
        <v>82734</v>
      </c>
      <c r="J18" s="82">
        <v>62915</v>
      </c>
      <c r="K18" s="82">
        <v>67740</v>
      </c>
      <c r="L18" s="82">
        <v>74512</v>
      </c>
      <c r="M18" s="82">
        <v>83038</v>
      </c>
      <c r="N18" s="82">
        <v>92455</v>
      </c>
      <c r="O18" s="82">
        <v>99573</v>
      </c>
      <c r="P18" s="82">
        <v>108268</v>
      </c>
      <c r="Q18" s="120">
        <v>115450</v>
      </c>
      <c r="R18" s="82">
        <v>426616</v>
      </c>
      <c r="S18" s="82">
        <v>464862</v>
      </c>
      <c r="T18" s="82">
        <v>511270</v>
      </c>
      <c r="U18" s="82">
        <v>561740</v>
      </c>
      <c r="V18" s="82">
        <v>605194</v>
      </c>
      <c r="W18" s="82">
        <v>637896</v>
      </c>
      <c r="X18" s="82">
        <v>678364</v>
      </c>
      <c r="Y18" s="120">
        <v>718334</v>
      </c>
      <c r="Z18" s="82">
        <v>58598</v>
      </c>
      <c r="AA18" s="82">
        <f>259231+367113</f>
        <v>626344</v>
      </c>
      <c r="AB18" s="82">
        <f>276290+402514</f>
        <v>678804</v>
      </c>
      <c r="AC18" s="82">
        <f>301533+448958</f>
        <v>750491</v>
      </c>
      <c r="AD18" s="82">
        <v>818484</v>
      </c>
      <c r="AE18" s="82">
        <v>875103</v>
      </c>
      <c r="AF18" s="82">
        <v>942209</v>
      </c>
      <c r="AG18" s="120">
        <v>1008864</v>
      </c>
      <c r="AH18" s="82">
        <v>8087416</v>
      </c>
      <c r="AI18" s="82">
        <v>8716981</v>
      </c>
      <c r="AJ18" s="82">
        <v>9507556</v>
      </c>
      <c r="AK18" s="82">
        <v>10512304</v>
      </c>
      <c r="AL18" s="82">
        <v>11500292</v>
      </c>
      <c r="AM18" s="82">
        <v>12502698</v>
      </c>
      <c r="AN18" s="82">
        <v>13704879</v>
      </c>
      <c r="AO18" s="120">
        <v>14919493</v>
      </c>
      <c r="AP18" s="82">
        <v>952400</v>
      </c>
      <c r="AQ18" s="82">
        <v>1057383</v>
      </c>
      <c r="AR18" s="82">
        <v>1218030</v>
      </c>
      <c r="AS18" s="82">
        <v>1411898</v>
      </c>
      <c r="AT18" s="82">
        <v>1602129</v>
      </c>
      <c r="AU18" s="82">
        <v>1771298</v>
      </c>
      <c r="AV18" s="82">
        <v>2008748</v>
      </c>
      <c r="AW18" s="120">
        <v>2260084</v>
      </c>
      <c r="AX18" s="82">
        <v>141565</v>
      </c>
      <c r="AY18" s="82">
        <v>152985</v>
      </c>
      <c r="AZ18" s="82">
        <v>160800</v>
      </c>
      <c r="BA18" s="82">
        <v>167991</v>
      </c>
      <c r="BB18" s="82">
        <v>173373</v>
      </c>
      <c r="BC18" s="82">
        <v>176750</v>
      </c>
      <c r="BD18" s="82">
        <v>180556</v>
      </c>
      <c r="BE18" s="120">
        <v>183774</v>
      </c>
      <c r="BF18" s="82">
        <v>10547157</v>
      </c>
      <c r="BG18" s="82">
        <f>410516+278921+36818</f>
        <v>726255</v>
      </c>
      <c r="BH18" s="82">
        <f>442737+294885+42155</f>
        <v>779777</v>
      </c>
      <c r="BI18" s="82">
        <f>495136+317509+46064</f>
        <v>858709</v>
      </c>
      <c r="BJ18" s="82">
        <v>909911</v>
      </c>
      <c r="BK18" s="82">
        <v>955283</v>
      </c>
      <c r="BL18" s="82">
        <v>1021108</v>
      </c>
      <c r="BM18" s="120">
        <v>1072563</v>
      </c>
      <c r="BN18" s="82">
        <v>10998651</v>
      </c>
      <c r="BO18" s="82">
        <v>11872573</v>
      </c>
      <c r="BP18" s="82">
        <v>12993135</v>
      </c>
      <c r="BQ18" s="82">
        <v>14413717</v>
      </c>
      <c r="BR18" s="82">
        <v>15772453</v>
      </c>
      <c r="BS18" s="82">
        <v>17091599</v>
      </c>
      <c r="BT18" s="82">
        <v>18720567</v>
      </c>
      <c r="BU18" s="82">
        <v>20361296</v>
      </c>
    </row>
    <row r="19" spans="1:73" ht="13.2" x14ac:dyDescent="0.25">
      <c r="A19" s="57" t="s">
        <v>28</v>
      </c>
      <c r="B19" s="81">
        <v>29516</v>
      </c>
      <c r="C19" s="81">
        <v>33520</v>
      </c>
      <c r="D19" s="81">
        <v>35646</v>
      </c>
      <c r="E19" s="81">
        <v>39153</v>
      </c>
      <c r="F19" s="81">
        <v>42800</v>
      </c>
      <c r="G19" s="81">
        <v>45893</v>
      </c>
      <c r="H19" s="81">
        <v>50207</v>
      </c>
      <c r="I19" s="119">
        <v>53348</v>
      </c>
      <c r="J19" s="81">
        <v>14791</v>
      </c>
      <c r="K19" s="81">
        <v>15081</v>
      </c>
      <c r="L19" s="81">
        <v>19978</v>
      </c>
      <c r="M19" s="81">
        <v>23793</v>
      </c>
      <c r="N19" s="81">
        <v>27946</v>
      </c>
      <c r="O19" s="81">
        <v>33982</v>
      </c>
      <c r="P19" s="81">
        <v>40444</v>
      </c>
      <c r="Q19" s="119">
        <v>52756</v>
      </c>
      <c r="R19" s="81">
        <v>73134</v>
      </c>
      <c r="S19" s="81">
        <v>83745</v>
      </c>
      <c r="T19" s="81">
        <v>94770</v>
      </c>
      <c r="U19" s="81">
        <v>103995</v>
      </c>
      <c r="V19" s="81">
        <v>114465</v>
      </c>
      <c r="W19" s="81">
        <v>127652</v>
      </c>
      <c r="X19" s="81">
        <v>144334</v>
      </c>
      <c r="Y19" s="119">
        <v>164490</v>
      </c>
      <c r="Z19" s="81">
        <v>327416</v>
      </c>
      <c r="AA19" s="81">
        <f>249991+102541</f>
        <v>352532</v>
      </c>
      <c r="AB19" s="81">
        <f>275162+114384</f>
        <v>389546</v>
      </c>
      <c r="AC19" s="81">
        <f>292735+124897</f>
        <v>417632</v>
      </c>
      <c r="AD19" s="81">
        <v>445020</v>
      </c>
      <c r="AE19" s="81">
        <v>479951</v>
      </c>
      <c r="AF19" s="81">
        <v>516633</v>
      </c>
      <c r="AG19" s="119">
        <v>550506</v>
      </c>
      <c r="AH19" s="81">
        <v>2768197</v>
      </c>
      <c r="AI19" s="81">
        <v>2975418</v>
      </c>
      <c r="AJ19" s="81">
        <v>3370426</v>
      </c>
      <c r="AK19" s="81">
        <v>3755349</v>
      </c>
      <c r="AL19" s="81">
        <v>4146906</v>
      </c>
      <c r="AM19" s="81">
        <v>4541932</v>
      </c>
      <c r="AN19" s="81">
        <v>4988518</v>
      </c>
      <c r="AO19" s="119">
        <v>5453960</v>
      </c>
      <c r="AP19" s="81">
        <v>618942</v>
      </c>
      <c r="AQ19" s="81">
        <v>720441</v>
      </c>
      <c r="AR19" s="81">
        <v>855596</v>
      </c>
      <c r="AS19" s="81">
        <v>989519</v>
      </c>
      <c r="AT19" s="81">
        <v>1134616</v>
      </c>
      <c r="AU19" s="81">
        <v>1278272</v>
      </c>
      <c r="AV19" s="81">
        <v>1420621</v>
      </c>
      <c r="AW19" s="119">
        <v>1711692</v>
      </c>
      <c r="AX19" s="81">
        <v>111602</v>
      </c>
      <c r="AY19" s="81">
        <v>115852</v>
      </c>
      <c r="AZ19" s="81">
        <v>113384</v>
      </c>
      <c r="BA19" s="81">
        <v>121202</v>
      </c>
      <c r="BB19" s="81">
        <v>130503</v>
      </c>
      <c r="BC19" s="81">
        <v>141928</v>
      </c>
      <c r="BD19" s="81">
        <v>148479</v>
      </c>
      <c r="BE19" s="81" t="s">
        <v>43</v>
      </c>
      <c r="BF19" s="81">
        <v>4461987</v>
      </c>
      <c r="BG19" s="81">
        <f>0+490828+0+4408</f>
        <v>495236</v>
      </c>
      <c r="BH19" s="81">
        <f>0+487321+0+10336</f>
        <v>497657</v>
      </c>
      <c r="BI19" s="81">
        <f>516658+10809</f>
        <v>527467</v>
      </c>
      <c r="BJ19" s="81">
        <v>557338</v>
      </c>
      <c r="BK19" s="81">
        <v>589118</v>
      </c>
      <c r="BL19" s="81">
        <v>618294</v>
      </c>
      <c r="BM19" s="119">
        <v>642756</v>
      </c>
      <c r="BN19" s="81">
        <v>4425221</v>
      </c>
      <c r="BO19" s="81">
        <v>4791825</v>
      </c>
      <c r="BP19" s="81">
        <v>5377003</v>
      </c>
      <c r="BQ19" s="81">
        <v>5978110</v>
      </c>
      <c r="BR19" s="81">
        <v>6599594</v>
      </c>
      <c r="BS19" s="81">
        <v>7238748</v>
      </c>
      <c r="BT19" s="81">
        <v>7927550</v>
      </c>
      <c r="BU19" s="81">
        <v>8632956</v>
      </c>
    </row>
    <row r="20" spans="1:73" ht="13.2" x14ac:dyDescent="0.25">
      <c r="A20" s="57" t="s">
        <v>22</v>
      </c>
      <c r="B20" s="82">
        <v>5398</v>
      </c>
      <c r="C20" s="82">
        <v>5714</v>
      </c>
      <c r="D20" s="82">
        <v>6186</v>
      </c>
      <c r="E20" s="82">
        <v>14592</v>
      </c>
      <c r="F20" s="82">
        <v>13510</v>
      </c>
      <c r="G20" s="82">
        <v>13507</v>
      </c>
      <c r="H20" s="82">
        <v>14358</v>
      </c>
      <c r="I20" s="120">
        <v>18137</v>
      </c>
      <c r="J20" s="82">
        <v>20582</v>
      </c>
      <c r="K20" s="82">
        <v>21993</v>
      </c>
      <c r="L20" s="82">
        <v>23791</v>
      </c>
      <c r="M20" s="82">
        <v>25030</v>
      </c>
      <c r="N20" s="82">
        <v>33043</v>
      </c>
      <c r="O20" s="82">
        <v>34012</v>
      </c>
      <c r="P20" s="82">
        <v>34796</v>
      </c>
      <c r="Q20" s="120">
        <v>34706</v>
      </c>
      <c r="R20" s="82">
        <v>2744</v>
      </c>
      <c r="S20" s="82">
        <v>2771</v>
      </c>
      <c r="T20" s="82">
        <v>2805</v>
      </c>
      <c r="U20" s="82">
        <v>3963</v>
      </c>
      <c r="V20" s="82">
        <v>5557</v>
      </c>
      <c r="W20" s="82">
        <v>5753</v>
      </c>
      <c r="X20" s="82">
        <v>5907</v>
      </c>
      <c r="Y20" s="120">
        <v>4821</v>
      </c>
      <c r="Z20" s="82">
        <v>86397</v>
      </c>
      <c r="AA20" s="82">
        <f>49582+42877</f>
        <v>92459</v>
      </c>
      <c r="AB20" s="82">
        <f>51899+47395</f>
        <v>99294</v>
      </c>
      <c r="AC20" s="82">
        <f>53763+43092</f>
        <v>96855</v>
      </c>
      <c r="AD20" s="82">
        <v>128017</v>
      </c>
      <c r="AE20" s="82">
        <v>136760</v>
      </c>
      <c r="AF20" s="82">
        <v>143008</v>
      </c>
      <c r="AG20" s="120">
        <v>144977</v>
      </c>
      <c r="AH20" s="82">
        <v>249994</v>
      </c>
      <c r="AI20" s="82">
        <v>283081</v>
      </c>
      <c r="AJ20" s="82">
        <v>331418</v>
      </c>
      <c r="AK20" s="82">
        <v>384832</v>
      </c>
      <c r="AL20" s="82">
        <v>433890</v>
      </c>
      <c r="AM20" s="82">
        <v>484335</v>
      </c>
      <c r="AN20" s="82">
        <v>545152</v>
      </c>
      <c r="AO20" s="120">
        <v>606485</v>
      </c>
      <c r="AP20" s="82">
        <v>80224</v>
      </c>
      <c r="AQ20" s="82">
        <v>95791</v>
      </c>
      <c r="AR20" s="82">
        <v>116176</v>
      </c>
      <c r="AS20" s="82">
        <v>171382</v>
      </c>
      <c r="AT20" s="82">
        <v>187734</v>
      </c>
      <c r="AU20" s="82">
        <v>215546</v>
      </c>
      <c r="AV20" s="82">
        <v>245106</v>
      </c>
      <c r="AW20" s="120">
        <v>278096</v>
      </c>
      <c r="AX20" s="82">
        <v>18932</v>
      </c>
      <c r="AY20" s="82">
        <v>20693</v>
      </c>
      <c r="AZ20" s="82">
        <v>22756</v>
      </c>
      <c r="BA20" s="82">
        <v>12704</v>
      </c>
      <c r="BB20" s="82">
        <v>14011</v>
      </c>
      <c r="BC20" s="82">
        <v>15826</v>
      </c>
      <c r="BD20" s="82">
        <v>17612</v>
      </c>
      <c r="BE20" s="120">
        <v>19703</v>
      </c>
      <c r="BF20" s="82">
        <v>30127</v>
      </c>
      <c r="BG20" s="82">
        <f>634+9292+1836+4077</f>
        <v>15839</v>
      </c>
      <c r="BH20" s="82">
        <f>949+9576+1853+6910</f>
        <v>19288</v>
      </c>
      <c r="BI20" s="82">
        <f>20916+220+6110+596164</f>
        <v>623410</v>
      </c>
      <c r="BJ20" s="82">
        <v>60299</v>
      </c>
      <c r="BK20" s="82">
        <v>68531</v>
      </c>
      <c r="BL20" s="82">
        <v>71465</v>
      </c>
      <c r="BM20" s="120">
        <v>68125</v>
      </c>
      <c r="BN20" s="82">
        <v>494398</v>
      </c>
      <c r="BO20" s="82">
        <v>538341</v>
      </c>
      <c r="BP20" s="82">
        <v>621714</v>
      </c>
      <c r="BQ20" s="82">
        <v>736604</v>
      </c>
      <c r="BR20" s="82">
        <v>876061</v>
      </c>
      <c r="BS20" s="82">
        <v>974270</v>
      </c>
      <c r="BT20" s="82">
        <v>1077404</v>
      </c>
      <c r="BU20" s="82">
        <v>1175510</v>
      </c>
    </row>
    <row r="21" spans="1:73" ht="13.2" x14ac:dyDescent="0.25">
      <c r="A21" s="57" t="s">
        <v>23</v>
      </c>
      <c r="B21" s="81">
        <v>24051</v>
      </c>
      <c r="C21" s="81">
        <v>23480</v>
      </c>
      <c r="D21" s="81">
        <v>25858</v>
      </c>
      <c r="E21" s="81">
        <v>25765</v>
      </c>
      <c r="F21" s="81">
        <v>26888</v>
      </c>
      <c r="G21" s="81">
        <v>27947</v>
      </c>
      <c r="H21" s="81">
        <v>29695</v>
      </c>
      <c r="I21" s="119">
        <v>30646</v>
      </c>
      <c r="J21" s="81">
        <v>18971</v>
      </c>
      <c r="K21" s="81">
        <v>15939</v>
      </c>
      <c r="L21" s="81">
        <v>21307</v>
      </c>
      <c r="M21" s="81">
        <v>25577</v>
      </c>
      <c r="N21" s="81">
        <v>31285</v>
      </c>
      <c r="O21" s="81">
        <v>34588</v>
      </c>
      <c r="P21" s="81">
        <v>37092</v>
      </c>
      <c r="Q21" s="119">
        <v>39135</v>
      </c>
      <c r="R21" s="81">
        <v>19673</v>
      </c>
      <c r="S21" s="81">
        <v>10958</v>
      </c>
      <c r="T21" s="81">
        <v>12420</v>
      </c>
      <c r="U21" s="81">
        <v>13759</v>
      </c>
      <c r="V21" s="81">
        <v>16407</v>
      </c>
      <c r="W21" s="81">
        <v>17592</v>
      </c>
      <c r="X21" s="81">
        <v>19777</v>
      </c>
      <c r="Y21" s="119">
        <v>20744</v>
      </c>
      <c r="Z21" s="81">
        <v>66464</v>
      </c>
      <c r="AA21" s="81">
        <f>35109+43238</f>
        <v>78347</v>
      </c>
      <c r="AB21" s="81">
        <f>35414+46792</f>
        <v>82206</v>
      </c>
      <c r="AC21" s="81">
        <f>38482+51412</f>
        <v>89894</v>
      </c>
      <c r="AD21" s="81">
        <v>96981</v>
      </c>
      <c r="AE21" s="81">
        <v>105179</v>
      </c>
      <c r="AF21" s="81">
        <v>112879</v>
      </c>
      <c r="AG21" s="119">
        <v>122722</v>
      </c>
      <c r="AH21" s="81">
        <v>363029</v>
      </c>
      <c r="AI21" s="81">
        <v>407928</v>
      </c>
      <c r="AJ21" s="81">
        <v>446791</v>
      </c>
      <c r="AK21" s="81">
        <v>480815</v>
      </c>
      <c r="AL21" s="81">
        <v>530594</v>
      </c>
      <c r="AM21" s="81">
        <v>588207</v>
      </c>
      <c r="AN21" s="81">
        <v>644458</v>
      </c>
      <c r="AO21" s="119">
        <v>706746</v>
      </c>
      <c r="AP21" s="81">
        <v>145060</v>
      </c>
      <c r="AQ21" s="81">
        <v>172071</v>
      </c>
      <c r="AR21" s="81">
        <v>198238</v>
      </c>
      <c r="AS21" s="81">
        <v>230328</v>
      </c>
      <c r="AT21" s="81">
        <v>265024</v>
      </c>
      <c r="AU21" s="81">
        <v>301449</v>
      </c>
      <c r="AV21" s="81">
        <v>338475</v>
      </c>
      <c r="AW21" s="119">
        <v>379571</v>
      </c>
      <c r="AX21" s="81">
        <v>11402</v>
      </c>
      <c r="AY21" s="81">
        <v>11601</v>
      </c>
      <c r="AZ21" s="81">
        <v>118301</v>
      </c>
      <c r="BA21" s="81">
        <v>24920</v>
      </c>
      <c r="BB21" s="81">
        <v>25001</v>
      </c>
      <c r="BC21" s="81">
        <v>25541</v>
      </c>
      <c r="BD21" s="81">
        <v>26288</v>
      </c>
      <c r="BE21" s="119">
        <v>27665</v>
      </c>
      <c r="BF21" s="81">
        <v>19795</v>
      </c>
      <c r="BG21" s="81">
        <f>1219+11640+2861+2861</f>
        <v>18581</v>
      </c>
      <c r="BH21" s="81">
        <f>1818+13538+3242+3242</f>
        <v>21840</v>
      </c>
      <c r="BI21" s="81">
        <f>2687+15574+3289+4290</f>
        <v>25840</v>
      </c>
      <c r="BJ21" s="81">
        <v>28606</v>
      </c>
      <c r="BK21" s="81">
        <v>32574</v>
      </c>
      <c r="BL21" s="81">
        <v>35607</v>
      </c>
      <c r="BM21" s="119">
        <v>38449</v>
      </c>
      <c r="BN21" s="81">
        <v>668445</v>
      </c>
      <c r="BO21" s="81">
        <v>738905</v>
      </c>
      <c r="BP21" s="81">
        <v>926961</v>
      </c>
      <c r="BQ21" s="81">
        <v>916898</v>
      </c>
      <c r="BR21" s="81">
        <v>1020786</v>
      </c>
      <c r="BS21" s="81">
        <v>1133077</v>
      </c>
      <c r="BT21" s="81">
        <v>1244271</v>
      </c>
      <c r="BU21" s="81">
        <v>1365552</v>
      </c>
    </row>
    <row r="22" spans="1:73" ht="13.2" x14ac:dyDescent="0.25">
      <c r="A22" s="57" t="s">
        <v>24</v>
      </c>
      <c r="B22" s="82">
        <v>11699</v>
      </c>
      <c r="C22" s="82">
        <v>12256</v>
      </c>
      <c r="D22" s="82">
        <v>12847</v>
      </c>
      <c r="E22" s="82">
        <v>13561</v>
      </c>
      <c r="F22" s="82">
        <v>14329</v>
      </c>
      <c r="G22" s="82">
        <v>7950</v>
      </c>
      <c r="H22" s="82">
        <v>8323</v>
      </c>
      <c r="I22" s="120">
        <v>71981</v>
      </c>
      <c r="J22" s="82">
        <v>41828</v>
      </c>
      <c r="K22" s="82">
        <v>259542</v>
      </c>
      <c r="L22" s="82">
        <v>296771</v>
      </c>
      <c r="M22" s="82">
        <v>333420</v>
      </c>
      <c r="N22" s="82">
        <v>252268</v>
      </c>
      <c r="O22" s="82">
        <v>27105</v>
      </c>
      <c r="P22" s="82">
        <v>30031</v>
      </c>
      <c r="Q22" s="120">
        <v>22449</v>
      </c>
      <c r="R22" s="82" t="s">
        <v>41</v>
      </c>
      <c r="S22" s="82">
        <v>160778</v>
      </c>
      <c r="T22" s="82">
        <v>180934</v>
      </c>
      <c r="U22" s="82">
        <v>202638</v>
      </c>
      <c r="V22" s="82">
        <v>227414</v>
      </c>
      <c r="W22" s="82">
        <v>55451</v>
      </c>
      <c r="X22" s="82">
        <v>63743</v>
      </c>
      <c r="Y22" s="120">
        <v>98924</v>
      </c>
      <c r="Z22" s="82">
        <v>182995</v>
      </c>
      <c r="AA22" s="82">
        <f>156196+160778</f>
        <v>316974</v>
      </c>
      <c r="AB22" s="82">
        <f>172371+180934</f>
        <v>353305</v>
      </c>
      <c r="AC22" s="82">
        <f>191253+202638</f>
        <v>393891</v>
      </c>
      <c r="AD22" s="82">
        <v>412428</v>
      </c>
      <c r="AE22" s="82">
        <v>105786</v>
      </c>
      <c r="AF22" s="82">
        <v>117759</v>
      </c>
      <c r="AG22" s="120">
        <v>158508</v>
      </c>
      <c r="AH22" s="82">
        <v>1570575</v>
      </c>
      <c r="AI22" s="82">
        <v>1738566</v>
      </c>
      <c r="AJ22" s="82">
        <v>1947572</v>
      </c>
      <c r="AK22" s="82">
        <v>1851060</v>
      </c>
      <c r="AL22" s="82">
        <v>2041835</v>
      </c>
      <c r="AM22" s="82">
        <v>1246024</v>
      </c>
      <c r="AN22" s="82">
        <v>1522228</v>
      </c>
      <c r="AO22" s="120">
        <v>1644121</v>
      </c>
      <c r="AP22" s="82">
        <v>154803</v>
      </c>
      <c r="AQ22" s="82">
        <v>174320</v>
      </c>
      <c r="AR22" s="82">
        <v>201269</v>
      </c>
      <c r="AS22" s="82">
        <v>227386</v>
      </c>
      <c r="AT22" s="82">
        <v>239655</v>
      </c>
      <c r="AU22" s="82">
        <v>166313</v>
      </c>
      <c r="AV22" s="82">
        <v>191006</v>
      </c>
      <c r="AW22" s="120">
        <v>252472</v>
      </c>
      <c r="AX22" s="82">
        <v>45455</v>
      </c>
      <c r="AY22" s="82">
        <v>52155</v>
      </c>
      <c r="AZ22" s="82">
        <v>59892</v>
      </c>
      <c r="BA22" s="82">
        <v>67139</v>
      </c>
      <c r="BB22" s="82">
        <v>71790</v>
      </c>
      <c r="BC22" s="82">
        <v>55531</v>
      </c>
      <c r="BD22" s="82">
        <v>61892</v>
      </c>
      <c r="BE22" s="120">
        <v>57750</v>
      </c>
      <c r="BF22" s="82">
        <v>30665</v>
      </c>
      <c r="BG22" s="82">
        <v>35431</v>
      </c>
      <c r="BH22" s="82">
        <v>41116</v>
      </c>
      <c r="BI22" s="82">
        <v>47114</v>
      </c>
      <c r="BJ22" s="82">
        <v>133036</v>
      </c>
      <c r="BK22" s="82">
        <v>54600</v>
      </c>
      <c r="BL22" s="82">
        <v>70624</v>
      </c>
      <c r="BM22" s="120">
        <v>171449</v>
      </c>
      <c r="BN22" s="82">
        <v>2038020</v>
      </c>
      <c r="BO22" s="82">
        <v>2767408</v>
      </c>
      <c r="BP22" s="82">
        <v>3113182</v>
      </c>
      <c r="BQ22" s="82">
        <v>3157986</v>
      </c>
      <c r="BR22" s="82">
        <v>3416777</v>
      </c>
      <c r="BS22" s="82">
        <v>1718760</v>
      </c>
      <c r="BT22" s="82">
        <v>2065606</v>
      </c>
      <c r="BU22" s="82">
        <v>2477018</v>
      </c>
    </row>
    <row r="23" spans="1:73" ht="13.2" x14ac:dyDescent="0.25">
      <c r="A23" s="57" t="s">
        <v>8</v>
      </c>
      <c r="B23" s="81">
        <v>44308</v>
      </c>
      <c r="C23" s="81">
        <v>53874</v>
      </c>
      <c r="D23" s="81">
        <v>58012</v>
      </c>
      <c r="E23" s="81">
        <v>62501</v>
      </c>
      <c r="F23" s="81">
        <v>69718</v>
      </c>
      <c r="G23" s="81">
        <v>75529</v>
      </c>
      <c r="H23" s="81">
        <v>80911</v>
      </c>
      <c r="I23" s="119">
        <v>86544</v>
      </c>
      <c r="J23" s="81">
        <v>147489</v>
      </c>
      <c r="K23" s="81">
        <v>115410</v>
      </c>
      <c r="L23" s="81">
        <v>129272</v>
      </c>
      <c r="M23" s="81">
        <v>142700</v>
      </c>
      <c r="N23" s="81">
        <v>162894</v>
      </c>
      <c r="O23" s="81">
        <v>181227</v>
      </c>
      <c r="P23" s="81">
        <v>205174</v>
      </c>
      <c r="Q23" s="119">
        <v>245570</v>
      </c>
      <c r="R23" s="81">
        <v>247077</v>
      </c>
      <c r="S23" s="81">
        <v>237295</v>
      </c>
      <c r="T23" s="81">
        <v>259429</v>
      </c>
      <c r="U23" s="81">
        <v>285408</v>
      </c>
      <c r="V23" s="81">
        <v>320482</v>
      </c>
      <c r="W23" s="81">
        <v>349144</v>
      </c>
      <c r="X23" s="81">
        <v>380790</v>
      </c>
      <c r="Y23" s="119">
        <v>414661</v>
      </c>
      <c r="Z23" s="81">
        <v>366597</v>
      </c>
      <c r="AA23" s="81">
        <f>200316+177179</f>
        <v>377495</v>
      </c>
      <c r="AB23" s="81">
        <f>217113+198378</f>
        <v>415491</v>
      </c>
      <c r="AC23" s="81">
        <f>233422+221160</f>
        <v>454582</v>
      </c>
      <c r="AD23" s="81">
        <v>506340</v>
      </c>
      <c r="AE23" s="81">
        <v>555255</v>
      </c>
      <c r="AF23" s="81">
        <v>606352</v>
      </c>
      <c r="AG23" s="119">
        <v>657987</v>
      </c>
      <c r="AH23" s="81">
        <v>4796587</v>
      </c>
      <c r="AI23" s="81">
        <v>6404905</v>
      </c>
      <c r="AJ23" s="81">
        <v>7033045</v>
      </c>
      <c r="AK23" s="81">
        <v>7737366</v>
      </c>
      <c r="AL23" s="81">
        <v>8575104</v>
      </c>
      <c r="AM23" s="81">
        <v>9533892</v>
      </c>
      <c r="AN23" s="81">
        <v>10644368</v>
      </c>
      <c r="AO23" s="119">
        <v>11768570</v>
      </c>
      <c r="AP23" s="81">
        <v>892160</v>
      </c>
      <c r="AQ23" s="81">
        <v>1005291</v>
      </c>
      <c r="AR23" s="81">
        <v>1131201</v>
      </c>
      <c r="AS23" s="81">
        <v>1269430</v>
      </c>
      <c r="AT23" s="81">
        <v>1420767</v>
      </c>
      <c r="AU23" s="81">
        <v>1572521</v>
      </c>
      <c r="AV23" s="81">
        <v>1741831</v>
      </c>
      <c r="AW23" s="119">
        <v>1916373</v>
      </c>
      <c r="AX23" s="81">
        <v>39669</v>
      </c>
      <c r="AY23" s="81">
        <v>40225</v>
      </c>
      <c r="AZ23" s="81">
        <v>41229</v>
      </c>
      <c r="BA23" s="81">
        <v>42179</v>
      </c>
      <c r="BB23" s="81">
        <v>43263</v>
      </c>
      <c r="BC23" s="81">
        <v>44287</v>
      </c>
      <c r="BD23" s="81">
        <v>45257</v>
      </c>
      <c r="BE23" s="119">
        <v>45909</v>
      </c>
      <c r="BF23" s="81">
        <v>418664</v>
      </c>
      <c r="BG23" s="81">
        <f>105503+318844+215575+65634</f>
        <v>705556</v>
      </c>
      <c r="BH23" s="81">
        <f>109075+341559+233297+67967</f>
        <v>751898</v>
      </c>
      <c r="BI23" s="81">
        <f>113204+363993+251553+69795</f>
        <v>798545</v>
      </c>
      <c r="BJ23" s="81">
        <v>843816</v>
      </c>
      <c r="BK23" s="81">
        <v>894826</v>
      </c>
      <c r="BL23" s="81">
        <v>948879</v>
      </c>
      <c r="BM23" s="119">
        <v>893540</v>
      </c>
      <c r="BN23" s="81">
        <v>6952551</v>
      </c>
      <c r="BO23" s="81">
        <v>9043976</v>
      </c>
      <c r="BP23" s="81">
        <v>9930483</v>
      </c>
      <c r="BQ23" s="81">
        <v>10909601</v>
      </c>
      <c r="BR23" s="81">
        <v>12063686</v>
      </c>
      <c r="BS23" s="81">
        <v>13335106</v>
      </c>
      <c r="BT23" s="81">
        <v>14784961</v>
      </c>
      <c r="BU23" s="81">
        <v>16291765</v>
      </c>
    </row>
    <row r="24" spans="1:73" ht="13.2" x14ac:dyDescent="0.25">
      <c r="A24" s="57" t="s">
        <v>9</v>
      </c>
      <c r="B24" s="82">
        <v>430162</v>
      </c>
      <c r="C24" s="82">
        <v>383229</v>
      </c>
      <c r="D24" s="82">
        <v>390430</v>
      </c>
      <c r="E24" s="82">
        <v>396826</v>
      </c>
      <c r="F24" s="82">
        <v>404153</v>
      </c>
      <c r="G24" s="82">
        <v>409961</v>
      </c>
      <c r="H24" s="82">
        <v>414748</v>
      </c>
      <c r="I24" s="120">
        <v>111835</v>
      </c>
      <c r="J24" s="82">
        <v>75313</v>
      </c>
      <c r="K24" s="82">
        <v>84792</v>
      </c>
      <c r="L24" s="82">
        <v>96666</v>
      </c>
      <c r="M24" s="82">
        <v>108877</v>
      </c>
      <c r="N24" s="82">
        <v>121825</v>
      </c>
      <c r="O24" s="82">
        <v>139209</v>
      </c>
      <c r="P24" s="82">
        <v>150361</v>
      </c>
      <c r="Q24" s="120">
        <v>107567</v>
      </c>
      <c r="R24" s="82">
        <v>448649</v>
      </c>
      <c r="S24" s="82">
        <v>491879</v>
      </c>
      <c r="T24" s="82">
        <v>544485</v>
      </c>
      <c r="U24" s="82">
        <v>601507</v>
      </c>
      <c r="V24" s="82">
        <v>666808</v>
      </c>
      <c r="W24" s="82">
        <v>703646</v>
      </c>
      <c r="X24" s="82">
        <v>731417</v>
      </c>
      <c r="Y24" s="120">
        <v>610235</v>
      </c>
      <c r="Z24" s="82">
        <v>358382</v>
      </c>
      <c r="AA24" s="82">
        <f>68777+251471</f>
        <v>320248</v>
      </c>
      <c r="AB24" s="82">
        <f>72534+288447</f>
        <v>360981</v>
      </c>
      <c r="AC24" s="82">
        <f>76330+323891</f>
        <v>400221</v>
      </c>
      <c r="AD24" s="82">
        <v>443119</v>
      </c>
      <c r="AE24" s="82">
        <v>476353</v>
      </c>
      <c r="AF24" s="82">
        <v>499316</v>
      </c>
      <c r="AG24" s="120">
        <v>556795</v>
      </c>
      <c r="AH24" s="82">
        <v>2612341</v>
      </c>
      <c r="AI24" s="82">
        <v>2900238</v>
      </c>
      <c r="AJ24" s="82">
        <v>3294953</v>
      </c>
      <c r="AK24" s="82">
        <v>3811343</v>
      </c>
      <c r="AL24" s="82">
        <v>4464849</v>
      </c>
      <c r="AM24" s="82">
        <v>5096261</v>
      </c>
      <c r="AN24" s="82">
        <v>5722224</v>
      </c>
      <c r="AO24" s="120">
        <v>6472302</v>
      </c>
      <c r="AP24" s="82">
        <v>692628</v>
      </c>
      <c r="AQ24" s="82">
        <v>826538</v>
      </c>
      <c r="AR24" s="82">
        <v>985736</v>
      </c>
      <c r="AS24" s="82">
        <v>1151566</v>
      </c>
      <c r="AT24" s="82">
        <v>1331253</v>
      </c>
      <c r="AU24" s="82">
        <v>1515955</v>
      </c>
      <c r="AV24" s="82">
        <v>1690690</v>
      </c>
      <c r="AW24" s="120">
        <v>2070635</v>
      </c>
      <c r="AX24" s="82">
        <v>137547</v>
      </c>
      <c r="AY24" s="82">
        <v>137547</v>
      </c>
      <c r="AZ24" s="82">
        <v>137547</v>
      </c>
      <c r="BA24" s="82">
        <v>137547</v>
      </c>
      <c r="BB24" s="82">
        <v>137547</v>
      </c>
      <c r="BC24" s="82">
        <v>137547</v>
      </c>
      <c r="BD24" s="82">
        <v>137547</v>
      </c>
      <c r="BE24" s="80" t="s">
        <v>43</v>
      </c>
      <c r="BF24" s="82">
        <v>104896</v>
      </c>
      <c r="BG24" s="82">
        <f>3748+10665+3653+121101</f>
        <v>139167</v>
      </c>
      <c r="BH24" s="82">
        <f>3798+11209+3656+128079</f>
        <v>146742</v>
      </c>
      <c r="BI24" s="82">
        <f>3798+11602+3656+151259</f>
        <v>170315</v>
      </c>
      <c r="BJ24" s="82">
        <v>172659</v>
      </c>
      <c r="BK24" s="82">
        <v>180037</v>
      </c>
      <c r="BL24" s="82">
        <v>185467</v>
      </c>
      <c r="BM24" s="120">
        <v>288474</v>
      </c>
      <c r="BN24" s="82">
        <v>4859918</v>
      </c>
      <c r="BO24" s="82">
        <v>5397652</v>
      </c>
      <c r="BP24" s="82">
        <v>6072019</v>
      </c>
      <c r="BQ24" s="82">
        <v>6893314</v>
      </c>
      <c r="BR24" s="82">
        <v>7857822</v>
      </c>
      <c r="BS24" s="82">
        <v>8775041</v>
      </c>
      <c r="BT24" s="82">
        <v>9648320</v>
      </c>
      <c r="BU24" s="82">
        <v>10171813</v>
      </c>
    </row>
    <row r="25" spans="1:73" ht="13.2" x14ac:dyDescent="0.25">
      <c r="A25" s="57" t="s">
        <v>10</v>
      </c>
      <c r="B25" s="81">
        <v>31520</v>
      </c>
      <c r="C25" s="81">
        <v>35105</v>
      </c>
      <c r="D25" s="81">
        <v>36647</v>
      </c>
      <c r="E25" s="81">
        <v>40551</v>
      </c>
      <c r="F25" s="81">
        <v>40633</v>
      </c>
      <c r="G25" s="81">
        <v>42636</v>
      </c>
      <c r="H25" s="81">
        <v>45976</v>
      </c>
      <c r="I25" s="119">
        <v>46945</v>
      </c>
      <c r="J25" s="81">
        <v>94199</v>
      </c>
      <c r="K25" s="81">
        <v>99241</v>
      </c>
      <c r="L25" s="81">
        <v>110730</v>
      </c>
      <c r="M25" s="81">
        <v>122969</v>
      </c>
      <c r="N25" s="81">
        <v>140260</v>
      </c>
      <c r="O25" s="81">
        <v>155950</v>
      </c>
      <c r="P25" s="81">
        <v>174916</v>
      </c>
      <c r="Q25" s="119">
        <v>58751</v>
      </c>
      <c r="R25" s="81">
        <v>60751</v>
      </c>
      <c r="S25" s="81">
        <v>67488</v>
      </c>
      <c r="T25" s="81">
        <v>76207</v>
      </c>
      <c r="U25" s="81">
        <v>86068</v>
      </c>
      <c r="V25" s="81">
        <v>96817</v>
      </c>
      <c r="W25" s="81">
        <v>108345</v>
      </c>
      <c r="X25" s="81">
        <v>122095</v>
      </c>
      <c r="Y25" s="119">
        <v>124987</v>
      </c>
      <c r="Z25" s="81">
        <v>162226</v>
      </c>
      <c r="AA25" s="81">
        <f>105025+72029</f>
        <v>177054</v>
      </c>
      <c r="AB25" s="81">
        <f>112954+82673</f>
        <v>195627</v>
      </c>
      <c r="AC25" s="81">
        <f>121916+95702</f>
        <v>217618</v>
      </c>
      <c r="AD25" s="81">
        <v>242811</v>
      </c>
      <c r="AE25" s="81">
        <v>263039</v>
      </c>
      <c r="AF25" s="81">
        <v>297188</v>
      </c>
      <c r="AG25" s="119">
        <v>374592</v>
      </c>
      <c r="AH25" s="81">
        <v>4691218</v>
      </c>
      <c r="AI25" s="81">
        <v>5165023</v>
      </c>
      <c r="AJ25" s="81">
        <v>5783120</v>
      </c>
      <c r="AK25" s="81">
        <v>6411155</v>
      </c>
      <c r="AL25" s="81">
        <v>6877681</v>
      </c>
      <c r="AM25" s="81">
        <v>7668303</v>
      </c>
      <c r="AN25" s="81">
        <v>8831709</v>
      </c>
      <c r="AO25" s="119">
        <v>8701207</v>
      </c>
      <c r="AP25" s="81">
        <v>272009</v>
      </c>
      <c r="AQ25" s="81">
        <v>314464</v>
      </c>
      <c r="AR25" s="81">
        <v>366674</v>
      </c>
      <c r="AS25" s="81">
        <v>424644</v>
      </c>
      <c r="AT25" s="81">
        <v>493412</v>
      </c>
      <c r="AU25" s="81">
        <v>555461</v>
      </c>
      <c r="AV25" s="81">
        <v>637626</v>
      </c>
      <c r="AW25" s="119">
        <v>820391</v>
      </c>
      <c r="AX25" s="81">
        <v>39652</v>
      </c>
      <c r="AY25" s="81">
        <v>41396</v>
      </c>
      <c r="AZ25" s="81">
        <v>49566</v>
      </c>
      <c r="BA25" s="81">
        <v>51197</v>
      </c>
      <c r="BB25" s="81">
        <v>52784</v>
      </c>
      <c r="BC25" s="81">
        <v>55621</v>
      </c>
      <c r="BD25" s="81">
        <v>58792</v>
      </c>
      <c r="BE25" s="119">
        <v>46502</v>
      </c>
      <c r="BF25" s="81">
        <v>659116</v>
      </c>
      <c r="BG25" s="81">
        <f>458445+215333+17027</f>
        <v>690805</v>
      </c>
      <c r="BH25" s="81">
        <f>498997+219731+18403</f>
        <v>737131</v>
      </c>
      <c r="BI25" s="81">
        <f>545115+224033+20809</f>
        <v>789957</v>
      </c>
      <c r="BJ25" s="81">
        <v>815641</v>
      </c>
      <c r="BK25" s="81">
        <v>872270</v>
      </c>
      <c r="BL25" s="81">
        <v>972825</v>
      </c>
      <c r="BM25" s="119">
        <v>846778</v>
      </c>
      <c r="BN25" s="81">
        <v>6010691</v>
      </c>
      <c r="BO25" s="81">
        <v>6590576</v>
      </c>
      <c r="BP25" s="81">
        <v>7355702</v>
      </c>
      <c r="BQ25" s="81">
        <v>8144159</v>
      </c>
      <c r="BR25" s="81">
        <v>8760039</v>
      </c>
      <c r="BS25" s="81">
        <v>9721625</v>
      </c>
      <c r="BT25" s="81">
        <v>11141127</v>
      </c>
      <c r="BU25" s="81">
        <v>11141041</v>
      </c>
    </row>
    <row r="26" spans="1:73" ht="13.2" x14ac:dyDescent="0.25">
      <c r="A26" s="57" t="s">
        <v>11</v>
      </c>
      <c r="B26" s="82">
        <v>79073</v>
      </c>
      <c r="C26" s="82">
        <v>83816</v>
      </c>
      <c r="D26" s="82">
        <v>89861</v>
      </c>
      <c r="E26" s="82">
        <v>100097</v>
      </c>
      <c r="F26" s="82">
        <v>110121</v>
      </c>
      <c r="G26" s="82">
        <v>120886</v>
      </c>
      <c r="H26" s="82">
        <v>120750</v>
      </c>
      <c r="I26" s="120">
        <v>131183</v>
      </c>
      <c r="J26" s="82">
        <v>157916</v>
      </c>
      <c r="K26" s="82">
        <v>168307</v>
      </c>
      <c r="L26" s="82">
        <v>168496</v>
      </c>
      <c r="M26" s="82">
        <v>175797</v>
      </c>
      <c r="N26" s="82">
        <v>184066</v>
      </c>
      <c r="O26" s="82">
        <v>188787</v>
      </c>
      <c r="P26" s="82">
        <v>163390</v>
      </c>
      <c r="Q26" s="120">
        <v>237006</v>
      </c>
      <c r="R26" s="82">
        <v>598013</v>
      </c>
      <c r="S26" s="82">
        <v>626332</v>
      </c>
      <c r="T26" s="82">
        <v>640700</v>
      </c>
      <c r="U26" s="82">
        <v>640040</v>
      </c>
      <c r="V26" s="82">
        <v>655299</v>
      </c>
      <c r="W26" s="82">
        <v>658977</v>
      </c>
      <c r="X26" s="82">
        <v>695619</v>
      </c>
      <c r="Y26" s="120">
        <v>703030</v>
      </c>
      <c r="Z26" s="82">
        <v>845617</v>
      </c>
      <c r="AA26" s="82">
        <f>374705+521692</f>
        <v>896397</v>
      </c>
      <c r="AB26" s="82">
        <f>389941+583847</f>
        <v>973788</v>
      </c>
      <c r="AC26" s="82">
        <f>411418+656407</f>
        <v>1067825</v>
      </c>
      <c r="AD26" s="82">
        <v>1142091</v>
      </c>
      <c r="AE26" s="82">
        <v>1273256</v>
      </c>
      <c r="AF26" s="82">
        <v>1360214</v>
      </c>
      <c r="AG26" s="120">
        <v>1396713</v>
      </c>
      <c r="AH26" s="82">
        <v>10212360</v>
      </c>
      <c r="AI26" s="82">
        <v>11181762</v>
      </c>
      <c r="AJ26" s="82">
        <v>12429011</v>
      </c>
      <c r="AK26" s="82">
        <v>13921763</v>
      </c>
      <c r="AL26" s="82">
        <v>15457123</v>
      </c>
      <c r="AM26" s="82">
        <v>16910395</v>
      </c>
      <c r="AN26" s="82">
        <v>18603835</v>
      </c>
      <c r="AO26" s="120">
        <v>20355825</v>
      </c>
      <c r="AP26" s="82">
        <v>1603728</v>
      </c>
      <c r="AQ26" s="82">
        <v>1790259</v>
      </c>
      <c r="AR26" s="82">
        <v>2027080</v>
      </c>
      <c r="AS26" s="82">
        <v>2307841</v>
      </c>
      <c r="AT26" s="82">
        <v>2592565</v>
      </c>
      <c r="AU26" s="82">
        <v>2834847</v>
      </c>
      <c r="AV26" s="82">
        <v>3113773</v>
      </c>
      <c r="AW26" s="120">
        <v>3406872</v>
      </c>
      <c r="AX26" s="82">
        <v>356986</v>
      </c>
      <c r="AY26" s="82">
        <v>373958</v>
      </c>
      <c r="AZ26" s="82">
        <v>394647</v>
      </c>
      <c r="BA26" s="82">
        <v>423305</v>
      </c>
      <c r="BB26" s="82">
        <v>453380</v>
      </c>
      <c r="BC26" s="82">
        <v>471795</v>
      </c>
      <c r="BD26" s="82">
        <v>496255</v>
      </c>
      <c r="BE26" s="120">
        <v>517239</v>
      </c>
      <c r="BF26" s="82">
        <v>597215</v>
      </c>
      <c r="BG26" s="82">
        <f>18752+331694+270078+27066</f>
        <v>647590</v>
      </c>
      <c r="BH26" s="82">
        <f>18677+371075+293576+27188</f>
        <v>710516</v>
      </c>
      <c r="BI26" s="82">
        <f>19021+419291+324824+32557</f>
        <v>795693</v>
      </c>
      <c r="BJ26" s="82">
        <v>893457</v>
      </c>
      <c r="BK26" s="82">
        <v>934833</v>
      </c>
      <c r="BL26" s="82">
        <v>1008339</v>
      </c>
      <c r="BM26" s="120">
        <v>1223276</v>
      </c>
      <c r="BN26" s="82">
        <v>144590908</v>
      </c>
      <c r="BO26" s="82">
        <v>15768421</v>
      </c>
      <c r="BP26" s="82">
        <v>17434099</v>
      </c>
      <c r="BQ26" s="82">
        <v>19432361</v>
      </c>
      <c r="BR26" s="82">
        <v>21488152</v>
      </c>
      <c r="BS26" s="82">
        <v>23393776</v>
      </c>
      <c r="BT26" s="82">
        <v>25562175</v>
      </c>
      <c r="BU26" s="82">
        <v>27869866</v>
      </c>
    </row>
    <row r="27" spans="1:73" ht="13.2" x14ac:dyDescent="0.25">
      <c r="A27" s="57" t="s">
        <v>40</v>
      </c>
      <c r="B27" s="81">
        <v>2727</v>
      </c>
      <c r="C27" s="81">
        <v>2769</v>
      </c>
      <c r="D27" s="81">
        <v>2776</v>
      </c>
      <c r="E27" s="81">
        <v>2868</v>
      </c>
      <c r="F27" s="81">
        <v>3732</v>
      </c>
      <c r="G27" s="81">
        <v>3768</v>
      </c>
      <c r="H27" s="81">
        <v>3807</v>
      </c>
      <c r="I27" s="119">
        <v>3825</v>
      </c>
      <c r="J27" s="81">
        <v>412</v>
      </c>
      <c r="K27" s="81">
        <v>1595</v>
      </c>
      <c r="L27" s="81">
        <v>1896</v>
      </c>
      <c r="M27" s="81">
        <v>2567</v>
      </c>
      <c r="N27" s="81">
        <v>2956</v>
      </c>
      <c r="O27" s="81">
        <v>3081</v>
      </c>
      <c r="P27" s="81">
        <v>6484</v>
      </c>
      <c r="Q27" s="119">
        <v>8252</v>
      </c>
      <c r="R27" s="81">
        <v>4071</v>
      </c>
      <c r="S27" s="81">
        <v>7266</v>
      </c>
      <c r="T27" s="81">
        <v>9954</v>
      </c>
      <c r="U27" s="81">
        <v>11854</v>
      </c>
      <c r="V27" s="81">
        <v>14030</v>
      </c>
      <c r="W27" s="81">
        <v>17834</v>
      </c>
      <c r="X27" s="81">
        <v>19688</v>
      </c>
      <c r="Y27" s="119">
        <v>10466</v>
      </c>
      <c r="Z27" s="81">
        <v>9461</v>
      </c>
      <c r="AA27" s="81">
        <f>7639+2871</f>
        <v>10510</v>
      </c>
      <c r="AB27" s="81">
        <f>8249+3207</f>
        <v>11456</v>
      </c>
      <c r="AC27" s="81">
        <f>8599+4054</f>
        <v>12653</v>
      </c>
      <c r="AD27" s="81">
        <v>17177</v>
      </c>
      <c r="AE27" s="81">
        <v>17328</v>
      </c>
      <c r="AF27" s="81">
        <v>18679</v>
      </c>
      <c r="AG27" s="119">
        <v>18649</v>
      </c>
      <c r="AH27" s="81">
        <v>105465</v>
      </c>
      <c r="AI27" s="81">
        <v>139650</v>
      </c>
      <c r="AJ27" s="81">
        <v>145286</v>
      </c>
      <c r="AK27" s="81">
        <v>148942</v>
      </c>
      <c r="AL27" s="81">
        <v>212917</v>
      </c>
      <c r="AM27" s="81">
        <v>306901</v>
      </c>
      <c r="AN27" s="81">
        <v>207540</v>
      </c>
      <c r="AO27" s="119">
        <v>211104</v>
      </c>
      <c r="AP27" s="81">
        <v>12077</v>
      </c>
      <c r="AQ27" s="81">
        <v>15113</v>
      </c>
      <c r="AR27" s="81">
        <v>17019</v>
      </c>
      <c r="AS27" s="81">
        <v>17299</v>
      </c>
      <c r="AT27" s="81">
        <v>24417</v>
      </c>
      <c r="AU27" s="81">
        <v>24523</v>
      </c>
      <c r="AV27" s="81">
        <v>27523</v>
      </c>
      <c r="AW27" s="119">
        <v>31245</v>
      </c>
      <c r="AX27" s="81">
        <v>9146</v>
      </c>
      <c r="AY27" s="81">
        <v>11472</v>
      </c>
      <c r="AZ27" s="81">
        <v>11901</v>
      </c>
      <c r="BA27" s="81">
        <v>12241</v>
      </c>
      <c r="BB27" s="81">
        <v>14432</v>
      </c>
      <c r="BC27" s="81">
        <v>14562</v>
      </c>
      <c r="BD27" s="81">
        <v>16492</v>
      </c>
      <c r="BE27" s="119">
        <v>14512</v>
      </c>
      <c r="BF27" s="81">
        <v>4035</v>
      </c>
      <c r="BG27" s="81">
        <f>1524+3155+680+718</f>
        <v>6077</v>
      </c>
      <c r="BH27" s="81">
        <f>1600+3185+715+714</f>
        <v>6214</v>
      </c>
      <c r="BI27" s="81">
        <f>1605+3326+394+774</f>
        <v>6099</v>
      </c>
      <c r="BJ27" s="81">
        <v>6266</v>
      </c>
      <c r="BK27" s="81">
        <v>6547</v>
      </c>
      <c r="BL27" s="81">
        <v>6930</v>
      </c>
      <c r="BM27" s="119">
        <v>23741</v>
      </c>
      <c r="BN27" s="81">
        <v>147394</v>
      </c>
      <c r="BO27" s="81">
        <v>194452</v>
      </c>
      <c r="BP27" s="81">
        <v>206502</v>
      </c>
      <c r="BQ27" s="81">
        <v>214523</v>
      </c>
      <c r="BR27" s="81">
        <v>295927</v>
      </c>
      <c r="BS27" s="81">
        <v>394544</v>
      </c>
      <c r="BT27" s="81">
        <v>307143</v>
      </c>
      <c r="BU27" s="81">
        <v>306039</v>
      </c>
    </row>
    <row r="28" spans="1:73" ht="13.2" x14ac:dyDescent="0.25">
      <c r="A28" s="57" t="s">
        <v>37</v>
      </c>
      <c r="B28" s="82">
        <v>3905</v>
      </c>
      <c r="C28" s="82">
        <v>4007</v>
      </c>
      <c r="D28" s="82">
        <v>4116</v>
      </c>
      <c r="E28" s="82">
        <v>4323</v>
      </c>
      <c r="F28" s="82">
        <v>4945</v>
      </c>
      <c r="G28" s="82">
        <v>5019</v>
      </c>
      <c r="H28" s="82">
        <v>5120</v>
      </c>
      <c r="I28" s="120">
        <v>5398</v>
      </c>
      <c r="J28" s="82">
        <v>11352</v>
      </c>
      <c r="K28" s="82">
        <v>12607</v>
      </c>
      <c r="L28" s="82">
        <v>14507</v>
      </c>
      <c r="M28" s="82">
        <v>16205</v>
      </c>
      <c r="N28" s="82">
        <v>18133</v>
      </c>
      <c r="O28" s="82">
        <v>20106</v>
      </c>
      <c r="P28" s="82">
        <v>21504</v>
      </c>
      <c r="Q28" s="120">
        <v>22804</v>
      </c>
      <c r="R28" s="82">
        <v>4842</v>
      </c>
      <c r="S28" s="82">
        <v>5348</v>
      </c>
      <c r="T28" s="82">
        <v>6000</v>
      </c>
      <c r="U28" s="82">
        <v>6744</v>
      </c>
      <c r="V28" s="82">
        <v>7674</v>
      </c>
      <c r="W28" s="82">
        <v>18718</v>
      </c>
      <c r="X28" s="82">
        <v>19542</v>
      </c>
      <c r="Y28" s="120">
        <v>20697</v>
      </c>
      <c r="Z28" s="82">
        <v>24172</v>
      </c>
      <c r="AA28" s="82">
        <f>21372+4955</f>
        <v>26327</v>
      </c>
      <c r="AB28" s="82">
        <f>23064+6058</f>
        <v>29122</v>
      </c>
      <c r="AC28" s="82">
        <f>25451+7210</f>
        <v>32661</v>
      </c>
      <c r="AD28" s="82">
        <v>35700</v>
      </c>
      <c r="AE28" s="82">
        <v>38544</v>
      </c>
      <c r="AF28" s="82">
        <v>39826</v>
      </c>
      <c r="AG28" s="120">
        <v>312186</v>
      </c>
      <c r="AH28" s="82">
        <v>45747</v>
      </c>
      <c r="AI28" s="82">
        <v>51709</v>
      </c>
      <c r="AJ28" s="82">
        <v>56790</v>
      </c>
      <c r="AK28" s="82">
        <v>65712</v>
      </c>
      <c r="AL28" s="82">
        <v>73092</v>
      </c>
      <c r="AM28" s="82">
        <v>78021</v>
      </c>
      <c r="AN28" s="82">
        <v>85996</v>
      </c>
      <c r="AO28" s="120">
        <v>94843</v>
      </c>
      <c r="AP28" s="82">
        <v>32995</v>
      </c>
      <c r="AQ28" s="82">
        <v>37981</v>
      </c>
      <c r="AR28" s="82">
        <v>43901</v>
      </c>
      <c r="AS28" s="82">
        <v>49728</v>
      </c>
      <c r="AT28" s="82">
        <v>56209</v>
      </c>
      <c r="AU28" s="82">
        <v>62545</v>
      </c>
      <c r="AV28" s="82">
        <v>68236</v>
      </c>
      <c r="AW28" s="120">
        <v>75124</v>
      </c>
      <c r="AX28" s="82">
        <v>13652</v>
      </c>
      <c r="AY28" s="82">
        <v>14328</v>
      </c>
      <c r="AZ28" s="82">
        <v>15011</v>
      </c>
      <c r="BA28" s="82">
        <v>15682</v>
      </c>
      <c r="BB28" s="82">
        <v>16913</v>
      </c>
      <c r="BC28" s="82">
        <v>17812</v>
      </c>
      <c r="BD28" s="82">
        <v>19197</v>
      </c>
      <c r="BE28" s="120">
        <v>19581</v>
      </c>
      <c r="BF28" s="82">
        <v>5212</v>
      </c>
      <c r="BG28" s="82">
        <f>1+609+2713+2482</f>
        <v>5805</v>
      </c>
      <c r="BH28" s="82">
        <f>1+665+2765+2858</f>
        <v>6289</v>
      </c>
      <c r="BI28" s="82">
        <f>3+751+2794+3234</f>
        <v>6782</v>
      </c>
      <c r="BJ28" s="82">
        <v>7354</v>
      </c>
      <c r="BK28" s="82">
        <v>7489</v>
      </c>
      <c r="BL28" s="82">
        <v>7683</v>
      </c>
      <c r="BM28" s="120">
        <v>11257</v>
      </c>
      <c r="BN28" s="82">
        <v>141877</v>
      </c>
      <c r="BO28" s="82">
        <v>158113</v>
      </c>
      <c r="BP28" s="82">
        <v>175737</v>
      </c>
      <c r="BQ28" s="82">
        <v>197838</v>
      </c>
      <c r="BR28" s="82">
        <v>220021</v>
      </c>
      <c r="BS28" s="82">
        <v>248265</v>
      </c>
      <c r="BT28" s="82">
        <v>267104</v>
      </c>
      <c r="BU28" s="82">
        <v>558469</v>
      </c>
    </row>
    <row r="29" spans="1:73" ht="13.2" x14ac:dyDescent="0.25">
      <c r="A29" s="57" t="s">
        <v>25</v>
      </c>
      <c r="B29" s="81">
        <v>1003</v>
      </c>
      <c r="C29" s="81">
        <v>1036</v>
      </c>
      <c r="D29" s="81">
        <v>1088</v>
      </c>
      <c r="E29" s="81">
        <v>1141</v>
      </c>
      <c r="F29" s="81">
        <v>1187</v>
      </c>
      <c r="G29" s="81">
        <v>1208</v>
      </c>
      <c r="H29" s="81">
        <v>1231</v>
      </c>
      <c r="I29" s="119">
        <v>1268</v>
      </c>
      <c r="J29" s="81">
        <v>5992</v>
      </c>
      <c r="K29" s="81">
        <v>6465</v>
      </c>
      <c r="L29" s="81">
        <v>7246</v>
      </c>
      <c r="M29" s="81">
        <v>8183</v>
      </c>
      <c r="N29" s="81">
        <v>9225</v>
      </c>
      <c r="O29" s="81">
        <v>10406</v>
      </c>
      <c r="P29" s="81">
        <v>10720</v>
      </c>
      <c r="Q29" s="119">
        <v>11032</v>
      </c>
      <c r="R29" s="81">
        <v>2105</v>
      </c>
      <c r="S29" s="81">
        <v>2219</v>
      </c>
      <c r="T29" s="81">
        <v>2477</v>
      </c>
      <c r="U29" s="81">
        <v>2955</v>
      </c>
      <c r="V29" s="81">
        <v>3554</v>
      </c>
      <c r="W29" s="81">
        <v>4305</v>
      </c>
      <c r="X29" s="81">
        <v>4548</v>
      </c>
      <c r="Y29" s="119">
        <v>4840</v>
      </c>
      <c r="Z29" s="81">
        <v>6740</v>
      </c>
      <c r="AA29" s="81">
        <f>3507+4003</f>
        <v>7510</v>
      </c>
      <c r="AB29" s="81">
        <f>3844+4862</f>
        <v>8706</v>
      </c>
      <c r="AC29" s="81">
        <f>4285+6194</f>
        <v>10479</v>
      </c>
      <c r="AD29" s="81">
        <v>11510</v>
      </c>
      <c r="AE29" s="81">
        <v>12775</v>
      </c>
      <c r="AF29" s="81">
        <v>14047</v>
      </c>
      <c r="AG29" s="119">
        <v>20549</v>
      </c>
      <c r="AH29" s="81">
        <v>32267</v>
      </c>
      <c r="AI29" s="81">
        <v>39902</v>
      </c>
      <c r="AJ29" s="81">
        <v>47978</v>
      </c>
      <c r="AK29" s="81">
        <v>60278</v>
      </c>
      <c r="AL29" s="81">
        <v>70449</v>
      </c>
      <c r="AM29" s="81">
        <v>80729</v>
      </c>
      <c r="AN29" s="81">
        <v>90122</v>
      </c>
      <c r="AO29" s="119">
        <v>100270</v>
      </c>
      <c r="AP29" s="81">
        <v>9326</v>
      </c>
      <c r="AQ29" s="81">
        <v>10382</v>
      </c>
      <c r="AR29" s="81">
        <v>11583</v>
      </c>
      <c r="AS29" s="81">
        <v>13839</v>
      </c>
      <c r="AT29" s="81">
        <v>15561</v>
      </c>
      <c r="AU29" s="81">
        <v>17136</v>
      </c>
      <c r="AV29" s="81">
        <v>19276</v>
      </c>
      <c r="AW29" s="119">
        <v>21065</v>
      </c>
      <c r="AX29" s="81">
        <v>8233</v>
      </c>
      <c r="AY29" s="81">
        <v>8813</v>
      </c>
      <c r="AZ29" s="81">
        <v>9211</v>
      </c>
      <c r="BA29" s="81">
        <v>4082</v>
      </c>
      <c r="BB29" s="81">
        <v>4510</v>
      </c>
      <c r="BC29" s="81">
        <v>5118</v>
      </c>
      <c r="BD29" s="81">
        <v>5735</v>
      </c>
      <c r="BE29" s="119">
        <v>6228</v>
      </c>
      <c r="BF29" s="81">
        <v>4216</v>
      </c>
      <c r="BG29" s="81">
        <f>0+227+90+3812</f>
        <v>4129</v>
      </c>
      <c r="BH29" s="81">
        <f>0+252+92+4015</f>
        <v>4359</v>
      </c>
      <c r="BI29" s="81">
        <f>274+79+520</f>
        <v>873</v>
      </c>
      <c r="BJ29" s="81">
        <v>5340</v>
      </c>
      <c r="BK29" s="81">
        <v>5554</v>
      </c>
      <c r="BL29" s="81">
        <v>5807</v>
      </c>
      <c r="BM29" s="119">
        <v>6107</v>
      </c>
      <c r="BN29" s="81">
        <v>69882</v>
      </c>
      <c r="BO29" s="81">
        <v>80456</v>
      </c>
      <c r="BP29" s="81">
        <v>92648</v>
      </c>
      <c r="BQ29" s="81">
        <v>101830</v>
      </c>
      <c r="BR29" s="81">
        <v>121336</v>
      </c>
      <c r="BS29" s="81">
        <v>137231</v>
      </c>
      <c r="BT29" s="81">
        <v>151486</v>
      </c>
      <c r="BU29" s="81">
        <v>171291</v>
      </c>
    </row>
    <row r="30" spans="1:73" ht="15.6" x14ac:dyDescent="0.25">
      <c r="A30" s="57" t="s">
        <v>12</v>
      </c>
      <c r="B30" s="82">
        <v>4694</v>
      </c>
      <c r="C30" s="82">
        <v>5041</v>
      </c>
      <c r="D30" s="82">
        <v>5573</v>
      </c>
      <c r="E30" s="82">
        <v>5542</v>
      </c>
      <c r="F30" s="82">
        <v>5750</v>
      </c>
      <c r="G30" s="82">
        <v>5393</v>
      </c>
      <c r="H30" s="82">
        <v>5436</v>
      </c>
      <c r="I30" s="120">
        <v>5784</v>
      </c>
      <c r="J30" s="82">
        <v>5921</v>
      </c>
      <c r="K30" s="82">
        <v>6428</v>
      </c>
      <c r="L30" s="82">
        <v>6716</v>
      </c>
      <c r="M30" s="82">
        <v>6970</v>
      </c>
      <c r="N30" s="82">
        <v>7437</v>
      </c>
      <c r="O30" s="82">
        <v>7744</v>
      </c>
      <c r="P30" s="82">
        <v>8163</v>
      </c>
      <c r="Q30" s="120">
        <v>8714</v>
      </c>
      <c r="R30" s="82">
        <v>13143</v>
      </c>
      <c r="S30" s="82">
        <v>13403</v>
      </c>
      <c r="T30" s="82">
        <v>14284</v>
      </c>
      <c r="U30" s="82">
        <v>14429</v>
      </c>
      <c r="V30" s="82">
        <v>15328</v>
      </c>
      <c r="W30" s="82">
        <v>16344</v>
      </c>
      <c r="X30" s="82">
        <v>17065</v>
      </c>
      <c r="Y30" s="120">
        <v>18363</v>
      </c>
      <c r="Z30" s="82">
        <v>75752</v>
      </c>
      <c r="AA30" s="82">
        <f>65729+16345</f>
        <v>82074</v>
      </c>
      <c r="AB30" s="82">
        <f>77968+25158</f>
        <v>103126</v>
      </c>
      <c r="AC30" s="82">
        <f>84008+17799</f>
        <v>101807</v>
      </c>
      <c r="AD30" s="82">
        <v>109794</v>
      </c>
      <c r="AE30" s="82">
        <v>105199</v>
      </c>
      <c r="AF30" s="82">
        <v>110607</v>
      </c>
      <c r="AG30" s="120">
        <v>135328</v>
      </c>
      <c r="AH30" s="82">
        <v>52119</v>
      </c>
      <c r="AI30" s="82">
        <v>55208</v>
      </c>
      <c r="AJ30" s="82">
        <v>61085</v>
      </c>
      <c r="AK30" s="82">
        <v>61546</v>
      </c>
      <c r="AL30" s="82">
        <v>66353</v>
      </c>
      <c r="AM30" s="82">
        <v>70873</v>
      </c>
      <c r="AN30" s="82">
        <v>75158</v>
      </c>
      <c r="AO30" s="120">
        <v>81482</v>
      </c>
      <c r="AP30" s="82">
        <v>45549</v>
      </c>
      <c r="AQ30" s="82">
        <v>47984</v>
      </c>
      <c r="AR30" s="82">
        <v>50249</v>
      </c>
      <c r="AS30" s="82">
        <v>53074</v>
      </c>
      <c r="AT30" s="82">
        <v>55749</v>
      </c>
      <c r="AU30" s="82">
        <v>59301</v>
      </c>
      <c r="AV30" s="82">
        <v>62346</v>
      </c>
      <c r="AW30" s="120">
        <v>70467</v>
      </c>
      <c r="AX30" s="82">
        <v>25211</v>
      </c>
      <c r="AY30" s="82">
        <v>25888</v>
      </c>
      <c r="AZ30" s="82">
        <v>26313</v>
      </c>
      <c r="BA30" s="82">
        <v>27083</v>
      </c>
      <c r="BB30" s="82">
        <v>29034</v>
      </c>
      <c r="BC30" s="82">
        <v>30284</v>
      </c>
      <c r="BD30" s="82">
        <v>31282</v>
      </c>
      <c r="BE30" s="120">
        <v>32981</v>
      </c>
      <c r="BF30" s="82">
        <v>17484</v>
      </c>
      <c r="BG30" s="82">
        <f>497+2260+1020+929</f>
        <v>4706</v>
      </c>
      <c r="BH30" s="82">
        <f>501+2340+1023+1443</f>
        <v>5307</v>
      </c>
      <c r="BI30" s="82">
        <f>505+2482+1072+1908</f>
        <v>5967</v>
      </c>
      <c r="BJ30" s="82">
        <v>6430</v>
      </c>
      <c r="BK30" s="82">
        <v>6899</v>
      </c>
      <c r="BL30" s="82">
        <v>7403</v>
      </c>
      <c r="BM30" s="120">
        <v>9942</v>
      </c>
      <c r="BN30" s="82">
        <v>239873</v>
      </c>
      <c r="BO30" s="82">
        <v>254483</v>
      </c>
      <c r="BP30" s="82">
        <v>272653</v>
      </c>
      <c r="BQ30" s="82" t="s">
        <v>55</v>
      </c>
      <c r="BR30" s="82">
        <v>295875</v>
      </c>
      <c r="BS30" s="82" t="s">
        <v>70</v>
      </c>
      <c r="BT30" s="82" t="s">
        <v>68</v>
      </c>
      <c r="BU30" s="82" t="s">
        <v>81</v>
      </c>
    </row>
    <row r="31" spans="1:73" ht="13.2" x14ac:dyDescent="0.25">
      <c r="A31" s="57" t="s">
        <v>13</v>
      </c>
      <c r="B31" s="81">
        <v>18464</v>
      </c>
      <c r="C31" s="81">
        <v>19335</v>
      </c>
      <c r="D31" s="81">
        <v>20616</v>
      </c>
      <c r="E31" s="81">
        <v>21917</v>
      </c>
      <c r="F31" s="81">
        <v>23004</v>
      </c>
      <c r="G31" s="81">
        <v>24107</v>
      </c>
      <c r="H31" s="81">
        <v>25001</v>
      </c>
      <c r="I31" s="119">
        <v>26150</v>
      </c>
      <c r="J31" s="81">
        <v>38716</v>
      </c>
      <c r="K31" s="81">
        <v>41828</v>
      </c>
      <c r="L31" s="81">
        <v>44585</v>
      </c>
      <c r="M31" s="81">
        <v>56464</v>
      </c>
      <c r="N31" s="81">
        <v>68641</v>
      </c>
      <c r="O31" s="81">
        <v>79402</v>
      </c>
      <c r="P31" s="81">
        <v>91902</v>
      </c>
      <c r="Q31" s="119">
        <v>102803</v>
      </c>
      <c r="R31" s="81">
        <v>49896</v>
      </c>
      <c r="S31" s="81">
        <v>57456</v>
      </c>
      <c r="T31" s="81">
        <v>62830</v>
      </c>
      <c r="U31" s="81">
        <v>74313</v>
      </c>
      <c r="V31" s="81">
        <v>78131</v>
      </c>
      <c r="W31" s="81">
        <v>91847</v>
      </c>
      <c r="X31" s="81">
        <v>105951</v>
      </c>
      <c r="Y31" s="119">
        <v>121506</v>
      </c>
      <c r="Z31" s="81">
        <v>178649</v>
      </c>
      <c r="AA31" s="81">
        <f>109804+86729</f>
        <v>196533</v>
      </c>
      <c r="AB31" s="81">
        <f>119145+100546</f>
        <v>219691</v>
      </c>
      <c r="AC31" s="81">
        <f>130030+109719</f>
        <v>239749</v>
      </c>
      <c r="AD31" s="81">
        <v>267615</v>
      </c>
      <c r="AE31" s="81">
        <v>285887</v>
      </c>
      <c r="AF31" s="81">
        <v>303035</v>
      </c>
      <c r="AG31" s="119">
        <v>324105</v>
      </c>
      <c r="AH31" s="81">
        <v>2052980</v>
      </c>
      <c r="AI31" s="81">
        <v>2302694</v>
      </c>
      <c r="AJ31" s="81">
        <v>2614980</v>
      </c>
      <c r="AK31" s="81">
        <v>2946118</v>
      </c>
      <c r="AL31" s="81">
        <v>3311553</v>
      </c>
      <c r="AM31" s="81">
        <v>3706387</v>
      </c>
      <c r="AN31" s="81">
        <v>4126257</v>
      </c>
      <c r="AO31" s="119">
        <v>4628604</v>
      </c>
      <c r="AP31" s="81">
        <v>112490</v>
      </c>
      <c r="AQ31" s="81">
        <v>133529</v>
      </c>
      <c r="AR31" s="81">
        <v>161024</v>
      </c>
      <c r="AS31" s="81">
        <v>186323</v>
      </c>
      <c r="AT31" s="81">
        <v>214047</v>
      </c>
      <c r="AU31" s="81">
        <v>241113</v>
      </c>
      <c r="AV31" s="81">
        <v>272976</v>
      </c>
      <c r="AW31" s="119">
        <v>309565</v>
      </c>
      <c r="AX31" s="81">
        <v>34111</v>
      </c>
      <c r="AY31" s="81">
        <v>36726</v>
      </c>
      <c r="AZ31" s="81">
        <v>41966</v>
      </c>
      <c r="BA31" s="81">
        <v>44396</v>
      </c>
      <c r="BB31" s="81">
        <v>46148</v>
      </c>
      <c r="BC31" s="81">
        <v>46702</v>
      </c>
      <c r="BD31" s="81">
        <v>47379</v>
      </c>
      <c r="BE31" s="119">
        <v>48118</v>
      </c>
      <c r="BF31" s="81">
        <v>122055</v>
      </c>
      <c r="BG31" s="81">
        <f>3451+64354+55370+20556</f>
        <v>143731</v>
      </c>
      <c r="BH31" s="81">
        <f>3668+74439+65016+29223</f>
        <v>172346</v>
      </c>
      <c r="BI31" s="81">
        <f>3668+83079+73110+2939</f>
        <v>162796</v>
      </c>
      <c r="BJ31" s="81">
        <v>206401</v>
      </c>
      <c r="BK31" s="81">
        <v>226361</v>
      </c>
      <c r="BL31" s="81">
        <v>246094</v>
      </c>
      <c r="BM31" s="119">
        <v>269336</v>
      </c>
      <c r="BN31" s="81">
        <v>2607361</v>
      </c>
      <c r="BO31" s="81">
        <v>2931832</v>
      </c>
      <c r="BP31" s="81">
        <v>3338038</v>
      </c>
      <c r="BQ31" s="81">
        <v>3758530</v>
      </c>
      <c r="BR31" s="81">
        <v>4215540</v>
      </c>
      <c r="BS31" s="81">
        <v>4701806</v>
      </c>
      <c r="BT31" s="81">
        <v>5218595</v>
      </c>
      <c r="BU31" s="81">
        <v>5833357</v>
      </c>
    </row>
    <row r="32" spans="1:73" ht="13.2" x14ac:dyDescent="0.25">
      <c r="A32" s="57" t="s">
        <v>26</v>
      </c>
      <c r="B32" s="82">
        <v>25682</v>
      </c>
      <c r="C32" s="82">
        <v>27146</v>
      </c>
      <c r="D32" s="82">
        <v>27146</v>
      </c>
      <c r="E32" s="82">
        <v>30160</v>
      </c>
      <c r="F32" s="82">
        <v>30160</v>
      </c>
      <c r="G32" s="82">
        <v>30160</v>
      </c>
      <c r="H32" s="82">
        <v>30160</v>
      </c>
      <c r="I32" s="120">
        <v>41908</v>
      </c>
      <c r="J32" s="82">
        <v>14314</v>
      </c>
      <c r="K32" s="82">
        <v>15837</v>
      </c>
      <c r="L32" s="82">
        <v>15837</v>
      </c>
      <c r="M32" s="82">
        <v>18539</v>
      </c>
      <c r="N32" s="82">
        <v>18539</v>
      </c>
      <c r="O32" s="82">
        <v>18539</v>
      </c>
      <c r="P32" s="82">
        <v>18539</v>
      </c>
      <c r="Q32" s="120">
        <v>7627</v>
      </c>
      <c r="R32" s="82">
        <v>53670</v>
      </c>
      <c r="S32" s="82">
        <v>57879</v>
      </c>
      <c r="T32" s="82">
        <v>57879</v>
      </c>
      <c r="U32" s="82">
        <v>66734</v>
      </c>
      <c r="V32" s="82">
        <v>66734</v>
      </c>
      <c r="W32" s="82">
        <v>66734</v>
      </c>
      <c r="X32" s="82">
        <v>66734</v>
      </c>
      <c r="Y32" s="120">
        <v>1034061</v>
      </c>
      <c r="Z32" s="82">
        <v>159251</v>
      </c>
      <c r="AA32" s="82">
        <f>149367+20186</f>
        <v>169553</v>
      </c>
      <c r="AB32" s="82">
        <f>149367+20186</f>
        <v>169553</v>
      </c>
      <c r="AC32" s="82">
        <f>125898+75860</f>
        <v>201758</v>
      </c>
      <c r="AD32" s="82">
        <v>201758</v>
      </c>
      <c r="AE32" s="82">
        <v>201758</v>
      </c>
      <c r="AF32" s="82">
        <v>201758</v>
      </c>
      <c r="AG32" s="120">
        <v>352427</v>
      </c>
      <c r="AH32" s="82">
        <v>3581837</v>
      </c>
      <c r="AI32" s="82">
        <v>3956279</v>
      </c>
      <c r="AJ32" s="82">
        <v>3956279</v>
      </c>
      <c r="AK32" s="82">
        <v>4729594</v>
      </c>
      <c r="AL32" s="82">
        <v>4729594</v>
      </c>
      <c r="AM32" s="82">
        <v>4729594</v>
      </c>
      <c r="AN32" s="82">
        <v>4729594</v>
      </c>
      <c r="AO32" s="120">
        <v>6863421</v>
      </c>
      <c r="AP32" s="82">
        <v>444465</v>
      </c>
      <c r="AQ32" s="82">
        <v>484064</v>
      </c>
      <c r="AR32" s="82">
        <v>484064</v>
      </c>
      <c r="AS32" s="82">
        <v>616549</v>
      </c>
      <c r="AT32" s="82">
        <v>616549</v>
      </c>
      <c r="AU32" s="82">
        <v>616549</v>
      </c>
      <c r="AV32" s="82">
        <v>616549</v>
      </c>
      <c r="AW32" s="120"/>
      <c r="AX32" s="82">
        <v>52193</v>
      </c>
      <c r="AY32" s="82">
        <v>54798</v>
      </c>
      <c r="AZ32" s="82">
        <v>54798</v>
      </c>
      <c r="BA32" s="82">
        <v>63527</v>
      </c>
      <c r="BB32" s="82">
        <v>63527</v>
      </c>
      <c r="BC32" s="82">
        <v>63527</v>
      </c>
      <c r="BD32" s="82">
        <v>63527</v>
      </c>
      <c r="BE32" s="120"/>
      <c r="BF32" s="82">
        <v>500119</v>
      </c>
      <c r="BG32" s="82">
        <f>497551+966+10181</f>
        <v>508698</v>
      </c>
      <c r="BH32" s="82">
        <f>497551+966+10181</f>
        <v>508698</v>
      </c>
      <c r="BI32" s="82">
        <f>517743+1172+17163</f>
        <v>536078</v>
      </c>
      <c r="BJ32" s="82">
        <v>536078</v>
      </c>
      <c r="BK32" s="82">
        <v>536078</v>
      </c>
      <c r="BL32" s="82">
        <v>536078</v>
      </c>
      <c r="BM32" s="120">
        <v>768700</v>
      </c>
      <c r="BN32" s="82">
        <v>4831531</v>
      </c>
      <c r="BO32" s="82">
        <v>5274254</v>
      </c>
      <c r="BP32" s="82">
        <v>5274254</v>
      </c>
      <c r="BQ32" s="82">
        <v>6262939</v>
      </c>
      <c r="BR32" s="82">
        <v>6262939</v>
      </c>
      <c r="BS32" s="82">
        <v>6262939</v>
      </c>
      <c r="BT32" s="82">
        <v>6262939</v>
      </c>
      <c r="BU32" s="82">
        <v>9064476</v>
      </c>
    </row>
    <row r="33" spans="1:73" ht="13.2" x14ac:dyDescent="0.25">
      <c r="A33" s="57" t="s">
        <v>14</v>
      </c>
      <c r="B33" s="81">
        <v>69298</v>
      </c>
      <c r="C33" s="81">
        <v>73257</v>
      </c>
      <c r="D33" s="81">
        <v>77980</v>
      </c>
      <c r="E33" s="81">
        <v>83345</v>
      </c>
      <c r="F33" s="81">
        <v>88616</v>
      </c>
      <c r="G33" s="81">
        <v>93892</v>
      </c>
      <c r="H33" s="81">
        <v>97650</v>
      </c>
      <c r="I33" s="119">
        <v>102818</v>
      </c>
      <c r="J33" s="81">
        <v>60941</v>
      </c>
      <c r="K33" s="81">
        <v>67542</v>
      </c>
      <c r="L33" s="81">
        <v>76317</v>
      </c>
      <c r="M33" s="81">
        <v>89053</v>
      </c>
      <c r="N33" s="81">
        <v>103690</v>
      </c>
      <c r="O33" s="81">
        <v>114695</v>
      </c>
      <c r="P33" s="81">
        <v>123275</v>
      </c>
      <c r="Q33" s="119">
        <v>131912</v>
      </c>
      <c r="R33" s="81">
        <v>103270</v>
      </c>
      <c r="S33" s="81">
        <v>112986</v>
      </c>
      <c r="T33" s="81">
        <v>123328</v>
      </c>
      <c r="U33" s="81">
        <v>134345</v>
      </c>
      <c r="V33" s="81">
        <v>145422</v>
      </c>
      <c r="W33" s="81">
        <v>156669</v>
      </c>
      <c r="X33" s="81">
        <v>167504</v>
      </c>
      <c r="Y33" s="119">
        <v>180107</v>
      </c>
      <c r="Z33" s="81">
        <v>318118</v>
      </c>
      <c r="AA33" s="81">
        <f>198089+148892</f>
        <v>346981</v>
      </c>
      <c r="AB33" s="81">
        <f>222959+162837</f>
        <v>385796</v>
      </c>
      <c r="AC33" s="81">
        <f>362028+69509</f>
        <v>431537</v>
      </c>
      <c r="AD33" s="81">
        <v>478379</v>
      </c>
      <c r="AE33" s="81">
        <v>467758</v>
      </c>
      <c r="AF33" s="81">
        <v>564152</v>
      </c>
      <c r="AG33" s="119">
        <v>617367</v>
      </c>
      <c r="AH33" s="81">
        <v>4715835</v>
      </c>
      <c r="AI33" s="81">
        <v>5230454</v>
      </c>
      <c r="AJ33" s="81">
        <v>5859719</v>
      </c>
      <c r="AK33" s="81">
        <v>6629743</v>
      </c>
      <c r="AL33" s="81">
        <v>7465863</v>
      </c>
      <c r="AM33" s="81">
        <v>8331142</v>
      </c>
      <c r="AN33" s="81">
        <v>9272233</v>
      </c>
      <c r="AO33" s="119">
        <v>10258009</v>
      </c>
      <c r="AP33" s="81">
        <v>402239</v>
      </c>
      <c r="AQ33" s="81">
        <v>455924</v>
      </c>
      <c r="AR33" s="81">
        <v>520385</v>
      </c>
      <c r="AS33" s="81">
        <v>591069</v>
      </c>
      <c r="AT33" s="81">
        <v>659542</v>
      </c>
      <c r="AU33" s="81">
        <v>733916</v>
      </c>
      <c r="AV33" s="81">
        <v>814079</v>
      </c>
      <c r="AW33" s="119">
        <v>899307</v>
      </c>
      <c r="AX33" s="81">
        <v>182922</v>
      </c>
      <c r="AY33" s="81">
        <v>203692</v>
      </c>
      <c r="AZ33" s="81">
        <v>227910</v>
      </c>
      <c r="BA33" s="81">
        <v>254840</v>
      </c>
      <c r="BB33" s="81">
        <v>288056</v>
      </c>
      <c r="BC33" s="81">
        <v>319490</v>
      </c>
      <c r="BD33" s="81">
        <v>357188</v>
      </c>
      <c r="BE33" s="119">
        <v>396572</v>
      </c>
      <c r="BF33" s="81">
        <v>636941</v>
      </c>
      <c r="BG33" s="81">
        <f>605539+69287</f>
        <v>674826</v>
      </c>
      <c r="BH33" s="81">
        <f>644305+70525</f>
        <v>714830</v>
      </c>
      <c r="BI33" s="81">
        <f>699881+71665</f>
        <v>771546</v>
      </c>
      <c r="BJ33" s="81">
        <v>842377</v>
      </c>
      <c r="BK33" s="81">
        <v>915858</v>
      </c>
      <c r="BL33" s="81">
        <v>982848</v>
      </c>
      <c r="BM33" s="119">
        <v>1045994</v>
      </c>
      <c r="BN33" s="81">
        <v>6489564</v>
      </c>
      <c r="BO33" s="81">
        <v>7165662</v>
      </c>
      <c r="BP33" s="81">
        <v>7986265</v>
      </c>
      <c r="BQ33" s="81">
        <v>8985478</v>
      </c>
      <c r="BR33" s="81">
        <v>10071945</v>
      </c>
      <c r="BS33" s="81">
        <v>11133420</v>
      </c>
      <c r="BT33" s="81">
        <v>12378929</v>
      </c>
      <c r="BU33" s="81">
        <v>13632086</v>
      </c>
    </row>
    <row r="34" spans="1:73" ht="13.2" x14ac:dyDescent="0.25">
      <c r="A34" s="57" t="s">
        <v>15</v>
      </c>
      <c r="B34" s="82">
        <v>294</v>
      </c>
      <c r="C34" s="82">
        <v>524</v>
      </c>
      <c r="D34" s="82">
        <v>586</v>
      </c>
      <c r="E34" s="82">
        <v>613</v>
      </c>
      <c r="F34" s="82">
        <v>633</v>
      </c>
      <c r="G34" s="82">
        <v>236</v>
      </c>
      <c r="H34" s="82">
        <v>272</v>
      </c>
      <c r="I34" s="120">
        <v>336</v>
      </c>
      <c r="J34" s="82">
        <v>7108</v>
      </c>
      <c r="K34" s="82">
        <v>7569</v>
      </c>
      <c r="L34" s="82">
        <v>8011</v>
      </c>
      <c r="M34" s="82">
        <v>8816</v>
      </c>
      <c r="N34" s="82">
        <v>9378</v>
      </c>
      <c r="O34" s="82">
        <v>11708</v>
      </c>
      <c r="P34" s="82">
        <v>12458</v>
      </c>
      <c r="Q34" s="120">
        <v>13234</v>
      </c>
      <c r="R34" s="82" t="s">
        <v>41</v>
      </c>
      <c r="S34" s="82">
        <v>0</v>
      </c>
      <c r="T34" s="82">
        <v>0</v>
      </c>
      <c r="U34" s="82" t="s">
        <v>44</v>
      </c>
      <c r="V34" s="82" t="s">
        <v>44</v>
      </c>
      <c r="W34" s="82"/>
      <c r="X34" s="82"/>
      <c r="Y34" s="120" t="s">
        <v>79</v>
      </c>
      <c r="Z34" s="82">
        <v>3505</v>
      </c>
      <c r="AA34" s="82">
        <f>3214+795</f>
        <v>4009</v>
      </c>
      <c r="AB34" s="82">
        <f>3547+823</f>
        <v>4370</v>
      </c>
      <c r="AC34" s="82">
        <f>3930+947</f>
        <v>4877</v>
      </c>
      <c r="AD34" s="82">
        <v>4404</v>
      </c>
      <c r="AE34" s="82">
        <v>4465</v>
      </c>
      <c r="AF34" s="82">
        <v>4735</v>
      </c>
      <c r="AG34" s="120">
        <v>5159</v>
      </c>
      <c r="AH34" s="82">
        <v>5956</v>
      </c>
      <c r="AI34" s="82">
        <v>6308</v>
      </c>
      <c r="AJ34" s="82">
        <v>6843</v>
      </c>
      <c r="AK34" s="82">
        <v>7447</v>
      </c>
      <c r="AL34" s="82">
        <v>3808</v>
      </c>
      <c r="AM34" s="82">
        <v>3037</v>
      </c>
      <c r="AN34" s="82">
        <v>3633</v>
      </c>
      <c r="AO34" s="120">
        <v>4237</v>
      </c>
      <c r="AP34" s="82">
        <v>5704</v>
      </c>
      <c r="AQ34" s="82">
        <v>8905</v>
      </c>
      <c r="AR34" s="82">
        <v>12264</v>
      </c>
      <c r="AS34" s="82">
        <v>13933</v>
      </c>
      <c r="AT34" s="82">
        <v>11879</v>
      </c>
      <c r="AU34" s="82">
        <v>12594</v>
      </c>
      <c r="AV34" s="82">
        <v>14300</v>
      </c>
      <c r="AW34" s="120">
        <v>17041</v>
      </c>
      <c r="AX34" s="82">
        <v>4557</v>
      </c>
      <c r="AY34" s="82">
        <v>4869</v>
      </c>
      <c r="AZ34" s="82">
        <v>5251</v>
      </c>
      <c r="BA34" s="82">
        <v>6086</v>
      </c>
      <c r="BB34" s="82">
        <v>6004</v>
      </c>
      <c r="BC34" s="82">
        <v>7281</v>
      </c>
      <c r="BD34" s="82">
        <v>7509</v>
      </c>
      <c r="BE34" s="120">
        <v>8649</v>
      </c>
      <c r="BF34" s="82">
        <v>1427</v>
      </c>
      <c r="BG34" s="82">
        <f>1393+49+0</f>
        <v>1442</v>
      </c>
      <c r="BH34" s="82">
        <f>1399+59+0+0</f>
        <v>1458</v>
      </c>
      <c r="BI34" s="82">
        <f>1484+76+2</f>
        <v>1562</v>
      </c>
      <c r="BJ34" s="82">
        <v>171</v>
      </c>
      <c r="BK34" s="82">
        <v>287</v>
      </c>
      <c r="BL34" s="82">
        <v>303</v>
      </c>
      <c r="BM34" s="120">
        <v>349</v>
      </c>
      <c r="BN34" s="82">
        <v>28551</v>
      </c>
      <c r="BO34" s="82">
        <v>33626</v>
      </c>
      <c r="BP34" s="82">
        <v>38783</v>
      </c>
      <c r="BQ34" s="82">
        <v>43334</v>
      </c>
      <c r="BR34" s="82">
        <v>36277</v>
      </c>
      <c r="BS34" s="82">
        <v>39608</v>
      </c>
      <c r="BT34" s="82">
        <v>43210</v>
      </c>
      <c r="BU34" s="82">
        <v>49005</v>
      </c>
    </row>
    <row r="35" spans="1:73" ht="13.2" x14ac:dyDescent="0.25">
      <c r="A35" s="57" t="s">
        <v>16</v>
      </c>
      <c r="B35" s="81">
        <v>114671</v>
      </c>
      <c r="C35" s="81">
        <v>123999</v>
      </c>
      <c r="D35" s="81">
        <v>134887</v>
      </c>
      <c r="E35" s="81">
        <v>144251</v>
      </c>
      <c r="F35" s="81">
        <v>156470</v>
      </c>
      <c r="G35" s="81">
        <v>165176</v>
      </c>
      <c r="H35" s="81">
        <v>171581</v>
      </c>
      <c r="I35" s="119">
        <v>179021</v>
      </c>
      <c r="J35" s="81">
        <v>188795</v>
      </c>
      <c r="K35" s="81">
        <v>209689</v>
      </c>
      <c r="L35" s="81">
        <v>243425</v>
      </c>
      <c r="M35" s="81">
        <v>278005</v>
      </c>
      <c r="N35" s="81">
        <v>307079</v>
      </c>
      <c r="O35" s="81">
        <v>329639</v>
      </c>
      <c r="P35" s="81">
        <v>349029</v>
      </c>
      <c r="Q35" s="119">
        <v>373522</v>
      </c>
      <c r="R35" s="81">
        <v>215542</v>
      </c>
      <c r="S35" s="81">
        <v>238682</v>
      </c>
      <c r="T35" s="81">
        <v>291605</v>
      </c>
      <c r="U35" s="81">
        <v>301982</v>
      </c>
      <c r="V35" s="81">
        <v>319074</v>
      </c>
      <c r="W35" s="81">
        <v>338533</v>
      </c>
      <c r="X35" s="81">
        <v>361045</v>
      </c>
      <c r="Y35" s="119">
        <v>381488</v>
      </c>
      <c r="Z35" s="81">
        <v>649136</v>
      </c>
      <c r="AA35" s="81">
        <f>404652+280388</f>
        <v>685040</v>
      </c>
      <c r="AB35" s="81">
        <f>433579+311084</f>
        <v>744663</v>
      </c>
      <c r="AC35" s="81">
        <f>467225+353883</f>
        <v>821108</v>
      </c>
      <c r="AD35" s="81">
        <v>896985</v>
      </c>
      <c r="AE35" s="81">
        <v>924082</v>
      </c>
      <c r="AF35" s="81">
        <v>946232</v>
      </c>
      <c r="AG35" s="119">
        <v>972559</v>
      </c>
      <c r="AH35" s="81">
        <v>10223233</v>
      </c>
      <c r="AI35" s="81">
        <v>11156048</v>
      </c>
      <c r="AJ35" s="81">
        <v>12393788</v>
      </c>
      <c r="AK35" s="81">
        <v>13846378</v>
      </c>
      <c r="AL35" s="81">
        <v>15336823</v>
      </c>
      <c r="AM35" s="81">
        <v>16701588</v>
      </c>
      <c r="AN35" s="81">
        <v>18097975</v>
      </c>
      <c r="AO35" s="119">
        <v>19507083</v>
      </c>
      <c r="AP35" s="81">
        <v>1091231</v>
      </c>
      <c r="AQ35" s="81">
        <v>1204156</v>
      </c>
      <c r="AR35" s="81">
        <v>1350722</v>
      </c>
      <c r="AS35" s="81">
        <v>1504735</v>
      </c>
      <c r="AT35" s="81">
        <v>1668913</v>
      </c>
      <c r="AU35" s="81">
        <v>1818284</v>
      </c>
      <c r="AV35" s="81">
        <v>1972354</v>
      </c>
      <c r="AW35" s="119">
        <v>2132294</v>
      </c>
      <c r="AX35" s="81">
        <v>57207</v>
      </c>
      <c r="AY35" s="81">
        <v>57417</v>
      </c>
      <c r="AZ35" s="81">
        <v>58080</v>
      </c>
      <c r="BA35" s="81">
        <v>58718</v>
      </c>
      <c r="BB35" s="81">
        <v>59319</v>
      </c>
      <c r="BC35" s="81">
        <v>59709</v>
      </c>
      <c r="BD35" s="81">
        <v>60036</v>
      </c>
      <c r="BE35" s="119">
        <v>60465</v>
      </c>
      <c r="BF35" s="81">
        <v>351182</v>
      </c>
      <c r="BG35" s="81">
        <f>19957+150432+62260+153853</f>
        <v>386502</v>
      </c>
      <c r="BH35" s="81">
        <f>19957+167066+66269+167783</f>
        <v>421075</v>
      </c>
      <c r="BI35" s="81">
        <f>19957+186670+71403+179041</f>
        <v>457071</v>
      </c>
      <c r="BJ35" s="81">
        <v>487398</v>
      </c>
      <c r="BK35" s="81">
        <v>526651</v>
      </c>
      <c r="BL35" s="81">
        <v>560417</v>
      </c>
      <c r="BM35" s="119">
        <v>596916</v>
      </c>
      <c r="BN35" s="81">
        <v>12890997</v>
      </c>
      <c r="BO35" s="81">
        <v>14061533</v>
      </c>
      <c r="BP35" s="81">
        <v>15638245</v>
      </c>
      <c r="BQ35" s="81">
        <v>17412248</v>
      </c>
      <c r="BR35" s="81">
        <v>19232061</v>
      </c>
      <c r="BS35" s="81">
        <v>20863662</v>
      </c>
      <c r="BT35" s="81">
        <v>22518669</v>
      </c>
      <c r="BU35" s="81">
        <v>24203348</v>
      </c>
    </row>
    <row r="36" spans="1:73" ht="13.2" x14ac:dyDescent="0.25">
      <c r="A36" s="57" t="s">
        <v>65</v>
      </c>
      <c r="B36" s="82"/>
      <c r="C36" s="82"/>
      <c r="D36" s="82"/>
      <c r="E36" s="82"/>
      <c r="F36" s="82">
        <v>38245</v>
      </c>
      <c r="G36" s="82">
        <v>40807</v>
      </c>
      <c r="H36" s="82">
        <v>43422</v>
      </c>
      <c r="I36" s="120">
        <v>47470</v>
      </c>
      <c r="J36" s="82"/>
      <c r="K36" s="82"/>
      <c r="L36" s="82"/>
      <c r="M36" s="82"/>
      <c r="N36" s="82">
        <v>65226</v>
      </c>
      <c r="O36" s="82">
        <v>74097</v>
      </c>
      <c r="P36" s="82">
        <v>82296</v>
      </c>
      <c r="Q36" s="120">
        <v>101488</v>
      </c>
      <c r="R36" s="82"/>
      <c r="S36" s="82"/>
      <c r="T36" s="82"/>
      <c r="U36" s="82"/>
      <c r="V36" s="82">
        <v>236625</v>
      </c>
      <c r="W36" s="82">
        <v>264179</v>
      </c>
      <c r="X36" s="82">
        <v>296524</v>
      </c>
      <c r="Y36" s="120">
        <v>319438</v>
      </c>
      <c r="Z36" s="82"/>
      <c r="AA36" s="82"/>
      <c r="AB36" s="82"/>
      <c r="AC36" s="82"/>
      <c r="AD36" s="82">
        <v>289293</v>
      </c>
      <c r="AE36" s="82">
        <v>310928</v>
      </c>
      <c r="AF36" s="82">
        <v>328756</v>
      </c>
      <c r="AG36" s="120">
        <v>362650</v>
      </c>
      <c r="AH36" s="82"/>
      <c r="AI36" s="82"/>
      <c r="AJ36" s="82"/>
      <c r="AK36" s="82"/>
      <c r="AL36" s="82">
        <v>4701734</v>
      </c>
      <c r="AM36" s="82">
        <v>5225052</v>
      </c>
      <c r="AN36" s="82">
        <v>5815937</v>
      </c>
      <c r="AO36" s="120">
        <v>6464166</v>
      </c>
      <c r="AP36" s="82"/>
      <c r="AQ36" s="82"/>
      <c r="AR36" s="82"/>
      <c r="AS36" s="82"/>
      <c r="AT36" s="82">
        <v>717431</v>
      </c>
      <c r="AU36" s="82">
        <v>796232</v>
      </c>
      <c r="AV36" s="82">
        <v>878981</v>
      </c>
      <c r="AW36" s="120">
        <v>1043620</v>
      </c>
      <c r="AX36" s="82"/>
      <c r="AY36" s="82"/>
      <c r="AZ36" s="82"/>
      <c r="BA36" s="82"/>
      <c r="BB36" s="82">
        <v>14889</v>
      </c>
      <c r="BC36" s="82">
        <v>14989</v>
      </c>
      <c r="BD36" s="82">
        <v>15035</v>
      </c>
      <c r="BE36" s="120"/>
      <c r="BF36" s="82"/>
      <c r="BG36" s="82"/>
      <c r="BH36" s="82"/>
      <c r="BI36" s="82"/>
      <c r="BJ36" s="82">
        <v>313034</v>
      </c>
      <c r="BK36" s="82">
        <v>346825</v>
      </c>
      <c r="BL36" s="82">
        <v>383762</v>
      </c>
      <c r="BM36" s="120">
        <v>370357</v>
      </c>
      <c r="BN36" s="82"/>
      <c r="BO36" s="82"/>
      <c r="BP36" s="82"/>
      <c r="BQ36" s="82"/>
      <c r="BR36" s="82">
        <v>6376477</v>
      </c>
      <c r="BS36" s="82">
        <v>7073109</v>
      </c>
      <c r="BT36" s="82">
        <v>7844716</v>
      </c>
      <c r="BU36" s="82">
        <v>8709189</v>
      </c>
    </row>
    <row r="37" spans="1:73" ht="13.2" x14ac:dyDescent="0.25">
      <c r="A37" s="57" t="s">
        <v>34</v>
      </c>
      <c r="B37" s="81">
        <v>2223</v>
      </c>
      <c r="C37" s="81">
        <v>2194</v>
      </c>
      <c r="D37" s="81">
        <v>2295</v>
      </c>
      <c r="E37" s="81">
        <v>2312</v>
      </c>
      <c r="F37" s="81">
        <v>2291</v>
      </c>
      <c r="G37" s="81">
        <v>1920</v>
      </c>
      <c r="H37" s="81">
        <v>2484</v>
      </c>
      <c r="I37" s="119">
        <v>2749</v>
      </c>
      <c r="J37" s="81">
        <v>1380</v>
      </c>
      <c r="K37" s="81">
        <v>3199</v>
      </c>
      <c r="L37" s="81">
        <v>3468</v>
      </c>
      <c r="M37" s="81">
        <v>3530</v>
      </c>
      <c r="N37" s="81">
        <v>2286</v>
      </c>
      <c r="O37" s="81">
        <v>11900</v>
      </c>
      <c r="P37" s="81">
        <v>12076</v>
      </c>
      <c r="Q37" s="119">
        <v>12296</v>
      </c>
      <c r="R37" s="81">
        <v>16968</v>
      </c>
      <c r="S37" s="81">
        <v>15749</v>
      </c>
      <c r="T37" s="81">
        <v>18074</v>
      </c>
      <c r="U37" s="81">
        <v>19203</v>
      </c>
      <c r="V37" s="81">
        <v>23599</v>
      </c>
      <c r="W37" s="81">
        <v>15732</v>
      </c>
      <c r="X37" s="81">
        <v>18866</v>
      </c>
      <c r="Y37" s="119">
        <v>22322</v>
      </c>
      <c r="Z37" s="81">
        <v>14343</v>
      </c>
      <c r="AA37" s="81">
        <f>10432+6199</f>
        <v>16631</v>
      </c>
      <c r="AB37" s="81">
        <f>10934+7568</f>
        <v>18502</v>
      </c>
      <c r="AC37" s="81">
        <f>11168+8452</f>
        <v>19620</v>
      </c>
      <c r="AD37" s="81">
        <v>22012</v>
      </c>
      <c r="AE37" s="81">
        <v>16029</v>
      </c>
      <c r="AF37" s="81">
        <v>16772</v>
      </c>
      <c r="AG37" s="119">
        <v>18602</v>
      </c>
      <c r="AH37" s="81">
        <v>85455</v>
      </c>
      <c r="AI37" s="81">
        <v>97895</v>
      </c>
      <c r="AJ37" s="81">
        <v>117486</v>
      </c>
      <c r="AK37" s="81">
        <v>129343</v>
      </c>
      <c r="AL37" s="81">
        <v>158533</v>
      </c>
      <c r="AM37" s="81">
        <v>182809</v>
      </c>
      <c r="AN37" s="81">
        <v>200721</v>
      </c>
      <c r="AO37" s="119">
        <v>228096</v>
      </c>
      <c r="AP37" s="81">
        <v>9996</v>
      </c>
      <c r="AQ37" s="81">
        <v>10095</v>
      </c>
      <c r="AR37" s="81">
        <v>11224</v>
      </c>
      <c r="AS37" s="81">
        <v>12390</v>
      </c>
      <c r="AT37" s="81">
        <v>22033</v>
      </c>
      <c r="AU37" s="81">
        <v>17816</v>
      </c>
      <c r="AV37" s="81">
        <v>20760</v>
      </c>
      <c r="AW37" s="119">
        <v>24600</v>
      </c>
      <c r="AX37" s="81">
        <v>4977</v>
      </c>
      <c r="AY37" s="81">
        <v>12340</v>
      </c>
      <c r="AZ37" s="81">
        <v>14434</v>
      </c>
      <c r="BA37" s="81">
        <v>15542</v>
      </c>
      <c r="BB37" s="81">
        <v>11685</v>
      </c>
      <c r="BC37" s="81">
        <v>5530</v>
      </c>
      <c r="BD37" s="81">
        <v>5604</v>
      </c>
      <c r="BE37" s="119">
        <v>5770</v>
      </c>
      <c r="BF37" s="81">
        <v>8511</v>
      </c>
      <c r="BG37" s="81">
        <f>976+326+714</f>
        <v>2016</v>
      </c>
      <c r="BH37" s="81">
        <f>1010+349+831</f>
        <v>2190</v>
      </c>
      <c r="BI37" s="81">
        <f>1015+357+908</f>
        <v>2280</v>
      </c>
      <c r="BJ37" s="81">
        <v>2483</v>
      </c>
      <c r="BK37" s="81">
        <v>4434</v>
      </c>
      <c r="BL37" s="81">
        <v>4851</v>
      </c>
      <c r="BM37" s="119">
        <v>5047</v>
      </c>
      <c r="BN37" s="81">
        <v>143823</v>
      </c>
      <c r="BO37" s="81">
        <v>160119</v>
      </c>
      <c r="BP37" s="81">
        <v>187673</v>
      </c>
      <c r="BQ37" s="81">
        <v>204218</v>
      </c>
      <c r="BR37" s="81">
        <v>244922</v>
      </c>
      <c r="BS37" s="81">
        <v>256170</v>
      </c>
      <c r="BT37" s="81">
        <v>282134</v>
      </c>
      <c r="BU37" s="81">
        <v>319482</v>
      </c>
    </row>
    <row r="38" spans="1:73" ht="13.2" x14ac:dyDescent="0.25">
      <c r="A38" s="57" t="s">
        <v>35</v>
      </c>
      <c r="B38" s="82">
        <v>4032</v>
      </c>
      <c r="C38" s="82">
        <v>7527</v>
      </c>
      <c r="D38" s="82">
        <v>8066</v>
      </c>
      <c r="E38" s="82">
        <v>8504</v>
      </c>
      <c r="F38" s="82">
        <v>8997</v>
      </c>
      <c r="G38" s="82">
        <v>9962</v>
      </c>
      <c r="H38" s="82">
        <v>10716</v>
      </c>
      <c r="I38" s="120">
        <v>7736</v>
      </c>
      <c r="J38" s="82">
        <v>17058</v>
      </c>
      <c r="K38" s="82">
        <v>18660</v>
      </c>
      <c r="L38" s="82">
        <v>20896</v>
      </c>
      <c r="M38" s="82">
        <v>25415</v>
      </c>
      <c r="N38" s="82">
        <v>28536</v>
      </c>
      <c r="O38" s="82">
        <v>32029</v>
      </c>
      <c r="P38" s="82">
        <v>32830</v>
      </c>
      <c r="Q38" s="120">
        <v>39824</v>
      </c>
      <c r="R38" s="82">
        <v>12755</v>
      </c>
      <c r="S38" s="82">
        <v>11622</v>
      </c>
      <c r="T38" s="82">
        <v>13820</v>
      </c>
      <c r="U38" s="82">
        <v>13004</v>
      </c>
      <c r="V38" s="82">
        <v>14077</v>
      </c>
      <c r="W38" s="82">
        <v>14420</v>
      </c>
      <c r="X38" s="82">
        <v>16128</v>
      </c>
      <c r="Y38" s="120">
        <v>20301</v>
      </c>
      <c r="Z38" s="82">
        <v>27807</v>
      </c>
      <c r="AA38" s="82">
        <f>18026+16393</f>
        <v>34419</v>
      </c>
      <c r="AB38" s="82">
        <f>19474+19695</f>
        <v>39169</v>
      </c>
      <c r="AC38" s="82">
        <f>23786+26670</f>
        <v>50456</v>
      </c>
      <c r="AD38" s="82">
        <v>52098</v>
      </c>
      <c r="AE38" s="82">
        <v>58232</v>
      </c>
      <c r="AF38" s="82">
        <v>62789</v>
      </c>
      <c r="AG38" s="120">
        <v>84657</v>
      </c>
      <c r="AH38" s="82">
        <v>570359</v>
      </c>
      <c r="AI38" s="82">
        <v>583927</v>
      </c>
      <c r="AJ38" s="82">
        <v>708595</v>
      </c>
      <c r="AK38" s="82">
        <v>897651</v>
      </c>
      <c r="AL38" s="82">
        <v>1064349</v>
      </c>
      <c r="AM38" s="82">
        <v>1194941</v>
      </c>
      <c r="AN38" s="82">
        <v>1336114</v>
      </c>
      <c r="AO38" s="120">
        <v>1362282</v>
      </c>
      <c r="AP38" s="82">
        <v>98355</v>
      </c>
      <c r="AQ38" s="82">
        <v>119859</v>
      </c>
      <c r="AR38" s="82">
        <v>147591</v>
      </c>
      <c r="AS38" s="82">
        <v>188152</v>
      </c>
      <c r="AT38" s="82">
        <v>227596</v>
      </c>
      <c r="AU38" s="82">
        <v>260649</v>
      </c>
      <c r="AV38" s="82">
        <v>294481</v>
      </c>
      <c r="AW38" s="120">
        <v>295217</v>
      </c>
      <c r="AX38" s="82">
        <v>4385</v>
      </c>
      <c r="AY38" s="82">
        <v>8103</v>
      </c>
      <c r="AZ38" s="82">
        <v>8876</v>
      </c>
      <c r="BA38" s="82">
        <v>9762</v>
      </c>
      <c r="BB38" s="82">
        <v>11300</v>
      </c>
      <c r="BC38" s="82">
        <v>11996</v>
      </c>
      <c r="BD38" s="82">
        <v>13333</v>
      </c>
      <c r="BE38" s="120">
        <v>10277</v>
      </c>
      <c r="BF38" s="82">
        <v>52601</v>
      </c>
      <c r="BG38" s="82">
        <f>1289+42921+1508+1536</f>
        <v>47254</v>
      </c>
      <c r="BH38" s="82">
        <f>1302+46164+839+1843</f>
        <v>50148</v>
      </c>
      <c r="BI38" s="82">
        <f>1903+41847+5883+1465</f>
        <v>51098</v>
      </c>
      <c r="BJ38" s="82">
        <v>53183</v>
      </c>
      <c r="BK38" s="82">
        <v>57689</v>
      </c>
      <c r="BL38" s="82">
        <v>60636</v>
      </c>
      <c r="BM38" s="120">
        <v>67893</v>
      </c>
      <c r="BN38" s="82">
        <v>787352</v>
      </c>
      <c r="BO38" s="82">
        <v>831372</v>
      </c>
      <c r="BP38" s="82">
        <v>997161</v>
      </c>
      <c r="BQ38" s="82">
        <v>1244042</v>
      </c>
      <c r="BR38" s="82">
        <v>1460136</v>
      </c>
      <c r="BS38" s="82">
        <v>1639928</v>
      </c>
      <c r="BT38" s="82">
        <v>1827037</v>
      </c>
      <c r="BU38" s="82">
        <v>1888220</v>
      </c>
    </row>
    <row r="39" spans="1:73" ht="13.2" x14ac:dyDescent="0.25">
      <c r="A39" s="57" t="s">
        <v>29</v>
      </c>
      <c r="B39" s="81">
        <v>26331</v>
      </c>
      <c r="C39" s="81">
        <v>28124</v>
      </c>
      <c r="D39" s="81">
        <v>31922</v>
      </c>
      <c r="E39" s="81">
        <v>34428</v>
      </c>
      <c r="F39" s="81">
        <v>40501</v>
      </c>
      <c r="G39" s="81">
        <v>45607</v>
      </c>
      <c r="H39" s="81">
        <v>51866</v>
      </c>
      <c r="I39" s="119">
        <v>57939</v>
      </c>
      <c r="J39" s="81">
        <v>34107</v>
      </c>
      <c r="K39" s="81">
        <v>38629</v>
      </c>
      <c r="L39" s="81">
        <v>47364</v>
      </c>
      <c r="M39" s="81">
        <v>59379</v>
      </c>
      <c r="N39" s="81">
        <v>89393</v>
      </c>
      <c r="O39" s="81">
        <v>92399</v>
      </c>
      <c r="P39" s="81">
        <v>98303</v>
      </c>
      <c r="Q39" s="119">
        <v>104931</v>
      </c>
      <c r="R39" s="81">
        <v>105096</v>
      </c>
      <c r="S39" s="81">
        <v>123706</v>
      </c>
      <c r="T39" s="81">
        <v>146351</v>
      </c>
      <c r="U39" s="81">
        <v>175649</v>
      </c>
      <c r="V39" s="81">
        <v>195194</v>
      </c>
      <c r="W39" s="81">
        <v>220024</v>
      </c>
      <c r="X39" s="81">
        <v>252552</v>
      </c>
      <c r="Y39" s="119">
        <v>275093</v>
      </c>
      <c r="Z39" s="81">
        <v>240433</v>
      </c>
      <c r="AA39" s="81">
        <f>137436+131181</f>
        <v>268617</v>
      </c>
      <c r="AB39" s="81">
        <f>150670+156388</f>
        <v>307058</v>
      </c>
      <c r="AC39" s="81">
        <f>162813+176164</f>
        <v>338977</v>
      </c>
      <c r="AD39" s="81">
        <v>400061</v>
      </c>
      <c r="AE39" s="81">
        <v>467786</v>
      </c>
      <c r="AF39" s="81">
        <v>511631</v>
      </c>
      <c r="AG39" s="119">
        <v>562503</v>
      </c>
      <c r="AH39" s="81">
        <v>8521198</v>
      </c>
      <c r="AI39" s="81">
        <v>9493677</v>
      </c>
      <c r="AJ39" s="81">
        <v>10563850</v>
      </c>
      <c r="AK39" s="81">
        <v>12410064</v>
      </c>
      <c r="AL39" s="81">
        <v>13724495</v>
      </c>
      <c r="AM39" s="81">
        <v>15395363</v>
      </c>
      <c r="AN39" s="81">
        <v>17398458</v>
      </c>
      <c r="AO39" s="119">
        <v>19258791</v>
      </c>
      <c r="AP39" s="81">
        <v>775569</v>
      </c>
      <c r="AQ39" s="81">
        <v>873251</v>
      </c>
      <c r="AR39" s="81">
        <v>984937</v>
      </c>
      <c r="AS39" s="81">
        <v>1108100</v>
      </c>
      <c r="AT39" s="81">
        <v>1205374</v>
      </c>
      <c r="AU39" s="81">
        <v>1423020</v>
      </c>
      <c r="AV39" s="81">
        <v>1572217</v>
      </c>
      <c r="AW39" s="119">
        <v>1746117</v>
      </c>
      <c r="AX39" s="81">
        <v>135149</v>
      </c>
      <c r="AY39" s="81">
        <v>159128</v>
      </c>
      <c r="AZ39" s="81">
        <v>176398</v>
      </c>
      <c r="BA39" s="81">
        <v>200316</v>
      </c>
      <c r="BB39" s="81">
        <v>228836</v>
      </c>
      <c r="BC39" s="81">
        <v>263727</v>
      </c>
      <c r="BD39" s="81">
        <v>491013</v>
      </c>
      <c r="BE39" s="119">
        <v>584342</v>
      </c>
      <c r="BF39" s="81">
        <v>941202</v>
      </c>
      <c r="BG39" s="81">
        <f>18740+953959+15373+15145</f>
        <v>1003217</v>
      </c>
      <c r="BH39" s="81">
        <f>21559+978627+15126+14040</f>
        <v>1029352</v>
      </c>
      <c r="BI39" s="81">
        <f>23473+1064284+15278+15326</f>
        <v>1118361</v>
      </c>
      <c r="BJ39" s="81">
        <v>1164330</v>
      </c>
      <c r="BK39" s="81">
        <v>1206766</v>
      </c>
      <c r="BL39" s="81">
        <v>1259490</v>
      </c>
      <c r="BM39" s="119">
        <v>1346649</v>
      </c>
      <c r="BN39" s="81">
        <v>10778812</v>
      </c>
      <c r="BO39" s="81">
        <v>11988349</v>
      </c>
      <c r="BP39" s="81">
        <v>13287232</v>
      </c>
      <c r="BQ39" s="81">
        <v>15445274</v>
      </c>
      <c r="BR39" s="81">
        <v>17048184</v>
      </c>
      <c r="BS39" s="81">
        <v>19114692</v>
      </c>
      <c r="BT39" s="81">
        <v>21635531</v>
      </c>
      <c r="BU39" s="81">
        <v>23936366</v>
      </c>
    </row>
    <row r="40" spans="1:73" ht="15.6" x14ac:dyDescent="0.25">
      <c r="A40" s="57" t="s">
        <v>30</v>
      </c>
      <c r="B40" s="82">
        <v>35023</v>
      </c>
      <c r="C40" s="82">
        <v>31996</v>
      </c>
      <c r="D40" s="82">
        <v>34184</v>
      </c>
      <c r="E40" s="82">
        <v>35603</v>
      </c>
      <c r="F40" s="82">
        <v>51660</v>
      </c>
      <c r="G40" s="82">
        <v>53899</v>
      </c>
      <c r="H40" s="82">
        <v>56878</v>
      </c>
      <c r="I40" s="120">
        <v>44771</v>
      </c>
      <c r="J40" s="82">
        <v>66240</v>
      </c>
      <c r="K40" s="82">
        <v>73696</v>
      </c>
      <c r="L40" s="82">
        <v>80012</v>
      </c>
      <c r="M40" s="82">
        <v>84591</v>
      </c>
      <c r="N40" s="82">
        <v>105542</v>
      </c>
      <c r="O40" s="82">
        <v>115616</v>
      </c>
      <c r="P40" s="82">
        <v>125162</v>
      </c>
      <c r="Q40" s="120">
        <v>127038</v>
      </c>
      <c r="R40" s="82">
        <v>42312</v>
      </c>
      <c r="S40" s="82">
        <v>48370</v>
      </c>
      <c r="T40" s="82">
        <v>58633</v>
      </c>
      <c r="U40" s="82">
        <v>63424</v>
      </c>
      <c r="V40" s="82">
        <v>78452</v>
      </c>
      <c r="W40" s="82">
        <v>81914</v>
      </c>
      <c r="X40" s="82">
        <v>84089</v>
      </c>
      <c r="Y40" s="120">
        <v>76934</v>
      </c>
      <c r="Z40" s="82">
        <v>251120</v>
      </c>
      <c r="AA40" s="82">
        <v>222716</v>
      </c>
      <c r="AB40" s="82">
        <v>248776</v>
      </c>
      <c r="AC40" s="82" t="s">
        <v>51</v>
      </c>
      <c r="AD40" s="82">
        <v>436839</v>
      </c>
      <c r="AE40" s="82">
        <v>468719</v>
      </c>
      <c r="AF40" s="82">
        <v>495790</v>
      </c>
      <c r="AG40" s="120">
        <v>407229</v>
      </c>
      <c r="AH40" s="82">
        <v>2017198</v>
      </c>
      <c r="AI40" s="82">
        <v>1864861</v>
      </c>
      <c r="AJ40" s="82">
        <v>2260657</v>
      </c>
      <c r="AK40" s="82">
        <v>2717713</v>
      </c>
      <c r="AL40" s="82">
        <v>4257670</v>
      </c>
      <c r="AM40" s="82">
        <v>4754724</v>
      </c>
      <c r="AN40" s="82">
        <v>5280246</v>
      </c>
      <c r="AO40" s="120">
        <v>4796698</v>
      </c>
      <c r="AP40" s="82">
        <v>560875</v>
      </c>
      <c r="AQ40" s="82">
        <v>435352</v>
      </c>
      <c r="AR40" s="82">
        <v>492454</v>
      </c>
      <c r="AS40" s="82">
        <v>575085</v>
      </c>
      <c r="AT40" s="82">
        <v>877588</v>
      </c>
      <c r="AU40" s="82">
        <v>938271</v>
      </c>
      <c r="AV40" s="82">
        <v>1001618</v>
      </c>
      <c r="AW40" s="120">
        <v>878327</v>
      </c>
      <c r="AX40" s="82" t="s">
        <v>38</v>
      </c>
      <c r="AY40" s="82" t="s">
        <v>43</v>
      </c>
      <c r="AZ40" s="82" t="s">
        <v>43</v>
      </c>
      <c r="BA40" s="82">
        <f>SUM(BA12:BA39)</f>
        <v>1913337</v>
      </c>
      <c r="BB40" s="82">
        <v>8851</v>
      </c>
      <c r="BC40" s="82">
        <v>9705</v>
      </c>
      <c r="BD40" s="82">
        <v>10276</v>
      </c>
      <c r="BE40" s="80" t="s">
        <v>43</v>
      </c>
      <c r="BF40" s="82">
        <v>70851</v>
      </c>
      <c r="BG40" s="82">
        <f>51233+18914</f>
        <v>70147</v>
      </c>
      <c r="BH40" s="82">
        <f>57505+28403</f>
        <v>85908</v>
      </c>
      <c r="BI40" s="82">
        <f>70980+31350</f>
        <v>102330</v>
      </c>
      <c r="BJ40" s="82">
        <v>294132</v>
      </c>
      <c r="BK40" s="82">
        <v>322156</v>
      </c>
      <c r="BL40" s="82">
        <v>349182</v>
      </c>
      <c r="BM40" s="120">
        <v>157392</v>
      </c>
      <c r="BN40" s="82">
        <v>3043619</v>
      </c>
      <c r="BO40" s="82">
        <v>2747138</v>
      </c>
      <c r="BP40" s="82">
        <v>3260624</v>
      </c>
      <c r="BQ40" s="82">
        <v>3860741</v>
      </c>
      <c r="BR40" s="82">
        <v>6110734</v>
      </c>
      <c r="BS40" s="82">
        <v>6745004</v>
      </c>
      <c r="BT40" s="82">
        <v>7403241</v>
      </c>
      <c r="BU40" s="82">
        <v>6488389</v>
      </c>
    </row>
    <row r="41" spans="1:73" ht="13.2" x14ac:dyDescent="0.25">
      <c r="A41" s="62"/>
      <c r="B41" s="81"/>
      <c r="C41" s="81"/>
      <c r="D41" s="81"/>
      <c r="E41" s="81"/>
      <c r="F41" s="81"/>
      <c r="G41" s="81"/>
      <c r="H41" s="81"/>
      <c r="I41" s="119"/>
      <c r="J41" s="81"/>
      <c r="K41" s="81"/>
      <c r="L41" s="81"/>
      <c r="M41" s="81"/>
      <c r="N41" s="81"/>
      <c r="O41" s="81"/>
      <c r="P41" s="81"/>
      <c r="Q41" s="119"/>
      <c r="R41" s="81"/>
      <c r="S41" s="81"/>
      <c r="T41" s="81"/>
      <c r="U41" s="81"/>
      <c r="V41" s="81"/>
      <c r="W41" s="81"/>
      <c r="X41" s="81"/>
      <c r="Y41" s="119"/>
      <c r="Z41" s="81"/>
      <c r="AA41" s="81"/>
      <c r="AB41" s="81"/>
      <c r="AC41" s="81"/>
      <c r="AD41" s="81"/>
      <c r="AE41" s="81"/>
      <c r="AF41" s="81"/>
      <c r="AG41" s="119"/>
      <c r="AH41" s="81"/>
      <c r="AI41" s="81"/>
      <c r="AJ41" s="81"/>
      <c r="AK41" s="81"/>
      <c r="AL41" s="81"/>
      <c r="AM41" s="81"/>
      <c r="AN41" s="81"/>
      <c r="AO41" s="119"/>
      <c r="AP41" s="81"/>
      <c r="AQ41" s="81"/>
      <c r="AR41" s="81"/>
      <c r="AS41" s="81"/>
      <c r="AT41" s="81"/>
      <c r="AU41" s="81"/>
      <c r="AV41" s="81"/>
      <c r="AW41" s="119"/>
      <c r="AX41" s="81"/>
      <c r="AY41" s="81"/>
      <c r="AZ41" s="81"/>
      <c r="BA41" s="81"/>
      <c r="BB41" s="81"/>
      <c r="BC41" s="81"/>
      <c r="BD41" s="81"/>
      <c r="BE41" s="119"/>
      <c r="BF41" s="81"/>
      <c r="BG41" s="81"/>
      <c r="BH41" s="81"/>
      <c r="BI41" s="81"/>
      <c r="BJ41" s="81"/>
      <c r="BK41" s="81"/>
      <c r="BL41" s="81"/>
      <c r="BM41" s="119"/>
      <c r="BN41" s="81"/>
      <c r="BO41" s="81"/>
      <c r="BP41" s="81"/>
      <c r="BQ41" s="81"/>
      <c r="BR41" s="81"/>
      <c r="BS41" s="81"/>
      <c r="BT41" s="81"/>
      <c r="BU41" s="81"/>
    </row>
    <row r="42" spans="1:73" ht="13.2" x14ac:dyDescent="0.25">
      <c r="A42" s="55"/>
      <c r="B42" s="82"/>
      <c r="C42" s="82"/>
      <c r="D42" s="82"/>
      <c r="E42" s="82"/>
      <c r="F42" s="82"/>
      <c r="G42" s="82"/>
      <c r="H42" s="82"/>
      <c r="I42" s="120"/>
      <c r="J42" s="82"/>
      <c r="K42" s="82"/>
      <c r="L42" s="82"/>
      <c r="M42" s="82"/>
      <c r="N42" s="82"/>
      <c r="O42" s="82"/>
      <c r="P42" s="82"/>
      <c r="Q42" s="120"/>
      <c r="R42" s="82"/>
      <c r="S42" s="82"/>
      <c r="T42" s="82"/>
      <c r="U42" s="82"/>
      <c r="V42" s="82"/>
      <c r="W42" s="82"/>
      <c r="X42" s="82"/>
      <c r="Y42" s="120"/>
      <c r="Z42" s="82"/>
      <c r="AA42" s="82"/>
      <c r="AB42" s="82"/>
      <c r="AC42" s="82"/>
      <c r="AD42" s="82"/>
      <c r="AE42" s="82"/>
      <c r="AF42" s="82"/>
      <c r="AG42" s="120"/>
      <c r="AH42" s="82"/>
      <c r="AI42" s="82"/>
      <c r="AJ42" s="82"/>
      <c r="AK42" s="82"/>
      <c r="AL42" s="82"/>
      <c r="AM42" s="82"/>
      <c r="AN42" s="82"/>
      <c r="AO42" s="120"/>
      <c r="AP42" s="82"/>
      <c r="AQ42" s="82"/>
      <c r="AR42" s="82"/>
      <c r="AS42" s="82"/>
      <c r="AT42" s="82"/>
      <c r="AU42" s="82"/>
      <c r="AV42" s="82"/>
      <c r="AW42" s="120"/>
      <c r="AX42" s="82"/>
      <c r="AY42" s="82"/>
      <c r="AZ42" s="82"/>
      <c r="BA42" s="82"/>
      <c r="BB42" s="82"/>
      <c r="BC42" s="82"/>
      <c r="BD42" s="82"/>
      <c r="BE42" s="120"/>
      <c r="BF42" s="82"/>
      <c r="BG42" s="82"/>
      <c r="BH42" s="82"/>
      <c r="BI42" s="82"/>
      <c r="BJ42" s="82"/>
      <c r="BK42" s="82"/>
      <c r="BL42" s="82"/>
      <c r="BM42" s="120"/>
      <c r="BN42" s="82"/>
      <c r="BO42" s="82"/>
      <c r="BP42" s="82"/>
      <c r="BQ42" s="82"/>
      <c r="BR42" s="82"/>
      <c r="BS42" s="82"/>
      <c r="BT42" s="82"/>
      <c r="BU42" s="82"/>
    </row>
    <row r="43" spans="1:73" ht="15.6" x14ac:dyDescent="0.25">
      <c r="A43" s="57" t="s">
        <v>39</v>
      </c>
      <c r="B43" s="81">
        <v>811</v>
      </c>
      <c r="C43" s="81">
        <v>825</v>
      </c>
      <c r="D43" s="81">
        <v>846</v>
      </c>
      <c r="E43" s="81">
        <v>903</v>
      </c>
      <c r="F43" s="81">
        <v>958</v>
      </c>
      <c r="G43" s="81">
        <v>1007</v>
      </c>
      <c r="H43" s="81">
        <v>1039</v>
      </c>
      <c r="I43" s="119">
        <v>1074</v>
      </c>
      <c r="J43" s="81">
        <v>489</v>
      </c>
      <c r="K43" s="81">
        <v>489</v>
      </c>
      <c r="L43" s="81">
        <v>489</v>
      </c>
      <c r="M43" s="81">
        <v>489</v>
      </c>
      <c r="N43" s="81">
        <v>489</v>
      </c>
      <c r="O43" s="81">
        <v>489</v>
      </c>
      <c r="P43" s="81">
        <v>489</v>
      </c>
      <c r="Q43" s="119">
        <v>489</v>
      </c>
      <c r="R43" s="81">
        <v>2884</v>
      </c>
      <c r="S43" s="81">
        <v>2950</v>
      </c>
      <c r="T43" s="81">
        <v>3248</v>
      </c>
      <c r="U43" s="81">
        <v>3803</v>
      </c>
      <c r="V43" s="81">
        <v>4107</v>
      </c>
      <c r="W43" s="81">
        <v>4241</v>
      </c>
      <c r="X43" s="81">
        <v>4406</v>
      </c>
      <c r="Y43" s="119">
        <v>4652</v>
      </c>
      <c r="Z43" s="81">
        <v>2355</v>
      </c>
      <c r="AA43" s="81">
        <v>2366</v>
      </c>
      <c r="AB43" s="81">
        <f>2429+0</f>
        <v>2429</v>
      </c>
      <c r="AC43" s="81">
        <f>2484+0</f>
        <v>2484</v>
      </c>
      <c r="AD43" s="81">
        <v>2519</v>
      </c>
      <c r="AE43" s="81">
        <v>2564</v>
      </c>
      <c r="AF43" s="81">
        <v>2638</v>
      </c>
      <c r="AG43" s="119">
        <v>2730</v>
      </c>
      <c r="AH43" s="81">
        <v>42386</v>
      </c>
      <c r="AI43" s="81">
        <v>43762</v>
      </c>
      <c r="AJ43" s="81">
        <v>48819</v>
      </c>
      <c r="AK43" s="81">
        <v>54220</v>
      </c>
      <c r="AL43" s="81">
        <v>60354</v>
      </c>
      <c r="AM43" s="81">
        <v>66520</v>
      </c>
      <c r="AN43" s="81">
        <v>72800</v>
      </c>
      <c r="AO43" s="119">
        <v>79098</v>
      </c>
      <c r="AP43" s="81">
        <v>8263</v>
      </c>
      <c r="AQ43" s="81">
        <v>10988</v>
      </c>
      <c r="AR43" s="81">
        <v>12863</v>
      </c>
      <c r="AS43" s="81">
        <v>14632</v>
      </c>
      <c r="AT43" s="81">
        <v>16474</v>
      </c>
      <c r="AU43" s="81">
        <v>18314</v>
      </c>
      <c r="AV43" s="81">
        <v>20370</v>
      </c>
      <c r="AW43" s="119">
        <v>22265</v>
      </c>
      <c r="AX43" s="81">
        <v>2235</v>
      </c>
      <c r="AY43" s="81" t="s">
        <v>43</v>
      </c>
      <c r="AZ43" s="81" t="s">
        <v>44</v>
      </c>
      <c r="BA43" s="81" t="s">
        <v>43</v>
      </c>
      <c r="BB43" s="81" t="s">
        <v>43</v>
      </c>
      <c r="BC43" s="81" t="s">
        <v>43</v>
      </c>
      <c r="BD43" s="81" t="s">
        <v>43</v>
      </c>
      <c r="BE43" s="81" t="s">
        <v>43</v>
      </c>
      <c r="BF43" s="81">
        <v>306</v>
      </c>
      <c r="BG43" s="81">
        <v>394</v>
      </c>
      <c r="BH43" s="81">
        <f>406+0</f>
        <v>406</v>
      </c>
      <c r="BI43" s="81" t="s">
        <v>53</v>
      </c>
      <c r="BJ43" s="81">
        <v>541</v>
      </c>
      <c r="BK43" s="81">
        <v>556</v>
      </c>
      <c r="BL43" s="81">
        <v>559</v>
      </c>
      <c r="BM43" s="119">
        <v>821</v>
      </c>
      <c r="BN43" s="81">
        <v>59729</v>
      </c>
      <c r="BO43" s="81">
        <v>61774</v>
      </c>
      <c r="BP43" s="81">
        <v>69100</v>
      </c>
      <c r="BQ43" s="81">
        <v>77063</v>
      </c>
      <c r="BR43" s="81">
        <v>85442</v>
      </c>
      <c r="BS43" s="81">
        <v>93691</v>
      </c>
      <c r="BT43" s="81">
        <v>102301</v>
      </c>
      <c r="BU43" s="81">
        <v>111129</v>
      </c>
    </row>
    <row r="44" spans="1:73" ht="15.6" x14ac:dyDescent="0.25">
      <c r="A44" s="57" t="s">
        <v>31</v>
      </c>
      <c r="B44" s="82">
        <v>2375</v>
      </c>
      <c r="C44" s="82">
        <v>3062</v>
      </c>
      <c r="D44" s="82">
        <v>3684</v>
      </c>
      <c r="E44" s="82">
        <v>5170</v>
      </c>
      <c r="F44" s="82">
        <v>2265</v>
      </c>
      <c r="G44" s="82">
        <v>2326</v>
      </c>
      <c r="H44" s="82">
        <v>2561</v>
      </c>
      <c r="I44" s="120">
        <v>2729</v>
      </c>
      <c r="J44" s="82">
        <v>2810</v>
      </c>
      <c r="K44" s="82">
        <v>3017</v>
      </c>
      <c r="L44" s="82">
        <v>3275</v>
      </c>
      <c r="M44" s="82">
        <v>3491</v>
      </c>
      <c r="N44" s="82">
        <v>3519</v>
      </c>
      <c r="O44" s="82">
        <v>3683</v>
      </c>
      <c r="P44" s="82">
        <v>3908</v>
      </c>
      <c r="Q44" s="120">
        <v>1847</v>
      </c>
      <c r="R44" s="82" t="s">
        <v>41</v>
      </c>
      <c r="S44" s="82">
        <v>0</v>
      </c>
      <c r="T44" s="82">
        <v>0</v>
      </c>
      <c r="U44" s="82">
        <v>0</v>
      </c>
      <c r="V44" s="82">
        <v>2664</v>
      </c>
      <c r="W44" s="82">
        <v>2488</v>
      </c>
      <c r="X44" s="82">
        <v>2659</v>
      </c>
      <c r="Y44" s="120">
        <v>4521</v>
      </c>
      <c r="Z44" s="82">
        <v>11538</v>
      </c>
      <c r="AA44" s="82">
        <f>2210+15466</f>
        <v>17676</v>
      </c>
      <c r="AB44" s="82">
        <f>2490+21841</f>
        <v>24331</v>
      </c>
      <c r="AC44" s="82">
        <f>2689+23015</f>
        <v>25704</v>
      </c>
      <c r="AD44" s="82">
        <v>27077</v>
      </c>
      <c r="AE44" s="82">
        <v>9416</v>
      </c>
      <c r="AF44" s="82">
        <v>10031</v>
      </c>
      <c r="AG44" s="120">
        <v>10668</v>
      </c>
      <c r="AH44" s="82">
        <v>511568</v>
      </c>
      <c r="AI44" s="82">
        <v>686316</v>
      </c>
      <c r="AJ44" s="82">
        <v>711007</v>
      </c>
      <c r="AK44" s="82">
        <v>737263</v>
      </c>
      <c r="AL44" s="82">
        <v>760327</v>
      </c>
      <c r="AM44" s="82">
        <v>368308</v>
      </c>
      <c r="AN44" s="82">
        <v>395565</v>
      </c>
      <c r="AO44" s="120" t="s">
        <v>80</v>
      </c>
      <c r="AP44" s="82">
        <v>218857</v>
      </c>
      <c r="AQ44" s="82">
        <v>239014</v>
      </c>
      <c r="AR44" s="82">
        <v>265135</v>
      </c>
      <c r="AS44" s="82">
        <v>286584</v>
      </c>
      <c r="AT44" s="82">
        <v>310273</v>
      </c>
      <c r="AU44" s="82">
        <v>244504</v>
      </c>
      <c r="AV44" s="82">
        <v>261752</v>
      </c>
      <c r="AW44" s="120" t="s">
        <v>80</v>
      </c>
      <c r="AX44" s="82" t="s">
        <v>41</v>
      </c>
      <c r="AY44" s="82" t="s">
        <v>44</v>
      </c>
      <c r="AZ44" s="82" t="s">
        <v>44</v>
      </c>
      <c r="BA44" s="82" t="s">
        <v>43</v>
      </c>
      <c r="BB44" s="82" t="s">
        <v>43</v>
      </c>
      <c r="BC44" s="82" t="s">
        <v>43</v>
      </c>
      <c r="BD44" s="82" t="s">
        <v>43</v>
      </c>
      <c r="BE44" s="120" t="s">
        <v>80</v>
      </c>
      <c r="BF44" s="82">
        <v>119</v>
      </c>
      <c r="BG44" s="82">
        <f>130+149</f>
        <v>279</v>
      </c>
      <c r="BH44" s="82">
        <f>287+173</f>
        <v>460</v>
      </c>
      <c r="BI44" s="82" t="s">
        <v>54</v>
      </c>
      <c r="BJ44" s="82">
        <v>224</v>
      </c>
      <c r="BK44" s="82">
        <v>0</v>
      </c>
      <c r="BL44" s="82">
        <v>0</v>
      </c>
      <c r="BM44" s="120">
        <v>817172</v>
      </c>
      <c r="BN44" s="82">
        <v>747267</v>
      </c>
      <c r="BO44" s="82">
        <v>949364</v>
      </c>
      <c r="BP44" s="82">
        <v>1007892</v>
      </c>
      <c r="BQ44" s="82">
        <v>1058408</v>
      </c>
      <c r="BR44" s="82">
        <v>1106349</v>
      </c>
      <c r="BS44" s="82">
        <v>630725</v>
      </c>
      <c r="BT44" s="82">
        <v>676476</v>
      </c>
      <c r="BU44" s="82">
        <v>836937</v>
      </c>
    </row>
    <row r="45" spans="1:73" ht="13.2" x14ac:dyDescent="0.25">
      <c r="A45" s="57" t="s">
        <v>32</v>
      </c>
      <c r="B45" s="81">
        <v>278</v>
      </c>
      <c r="C45" s="81">
        <v>295</v>
      </c>
      <c r="D45" s="81">
        <v>314</v>
      </c>
      <c r="E45" s="81">
        <v>321</v>
      </c>
      <c r="F45" s="81">
        <v>352</v>
      </c>
      <c r="G45" s="81">
        <v>678</v>
      </c>
      <c r="H45" s="81">
        <v>714</v>
      </c>
      <c r="I45" s="119">
        <v>549</v>
      </c>
      <c r="J45" s="81">
        <v>133</v>
      </c>
      <c r="K45" s="81">
        <v>142</v>
      </c>
      <c r="L45" s="81">
        <v>146</v>
      </c>
      <c r="M45" s="81">
        <v>151</v>
      </c>
      <c r="N45" s="81">
        <v>154</v>
      </c>
      <c r="O45" s="81">
        <v>157</v>
      </c>
      <c r="P45" s="81">
        <v>165</v>
      </c>
      <c r="Q45" s="119">
        <v>16</v>
      </c>
      <c r="R45" s="81">
        <v>579</v>
      </c>
      <c r="S45" s="81">
        <v>605</v>
      </c>
      <c r="T45" s="81">
        <v>620</v>
      </c>
      <c r="U45" s="81">
        <v>632</v>
      </c>
      <c r="V45" s="81">
        <v>647</v>
      </c>
      <c r="W45" s="81">
        <v>650</v>
      </c>
      <c r="X45" s="81">
        <v>654</v>
      </c>
      <c r="Y45" s="119">
        <v>570</v>
      </c>
      <c r="Z45" s="81">
        <v>10100</v>
      </c>
      <c r="AA45" s="81">
        <f>8048+2761</f>
        <v>10809</v>
      </c>
      <c r="AB45" s="81">
        <f>8591+3036</f>
        <v>11627</v>
      </c>
      <c r="AC45" s="81">
        <f>8935+3380</f>
        <v>12315</v>
      </c>
      <c r="AD45" s="81">
        <v>13164</v>
      </c>
      <c r="AE45" s="81">
        <v>13748</v>
      </c>
      <c r="AF45" s="81">
        <v>14242</v>
      </c>
      <c r="AG45" s="119">
        <v>9611</v>
      </c>
      <c r="AH45" s="81">
        <v>35059</v>
      </c>
      <c r="AI45" s="81">
        <v>38635</v>
      </c>
      <c r="AJ45" s="81">
        <v>43010</v>
      </c>
      <c r="AK45" s="81">
        <v>48550</v>
      </c>
      <c r="AL45" s="81">
        <v>54244</v>
      </c>
      <c r="AM45" s="81">
        <v>60643</v>
      </c>
      <c r="AN45" s="81">
        <v>66874</v>
      </c>
      <c r="AO45" s="119">
        <v>71038</v>
      </c>
      <c r="AP45" s="81">
        <v>17210</v>
      </c>
      <c r="AQ45" s="81">
        <v>17507</v>
      </c>
      <c r="AR45" s="81">
        <v>19687</v>
      </c>
      <c r="AS45" s="81">
        <v>21762</v>
      </c>
      <c r="AT45" s="81">
        <v>24027</v>
      </c>
      <c r="AU45" s="81">
        <v>26050</v>
      </c>
      <c r="AV45" s="81">
        <v>28124</v>
      </c>
      <c r="AW45" s="119">
        <v>22689</v>
      </c>
      <c r="AX45" s="81" t="s">
        <v>41</v>
      </c>
      <c r="AY45" s="81">
        <v>549</v>
      </c>
      <c r="AZ45" s="81">
        <v>561</v>
      </c>
      <c r="BA45" s="81">
        <v>568</v>
      </c>
      <c r="BB45" s="81">
        <v>581</v>
      </c>
      <c r="BC45" s="81">
        <v>581</v>
      </c>
      <c r="BD45" s="81">
        <v>606</v>
      </c>
      <c r="BE45" s="119">
        <v>317</v>
      </c>
      <c r="BF45" s="81" t="s">
        <v>41</v>
      </c>
      <c r="BG45" s="81">
        <f>20+152+77+41</f>
        <v>290</v>
      </c>
      <c r="BH45" s="81">
        <f>22+177+77+116</f>
        <v>392</v>
      </c>
      <c r="BI45" s="81">
        <f>36+186</f>
        <v>222</v>
      </c>
      <c r="BJ45" s="81">
        <v>277</v>
      </c>
      <c r="BK45" s="81">
        <v>203</v>
      </c>
      <c r="BL45" s="81">
        <v>277</v>
      </c>
      <c r="BM45" s="119">
        <v>532</v>
      </c>
      <c r="BN45" s="81">
        <v>63359</v>
      </c>
      <c r="BO45" s="81">
        <v>68832</v>
      </c>
      <c r="BP45" s="81">
        <v>76357</v>
      </c>
      <c r="BQ45" s="81">
        <v>84521</v>
      </c>
      <c r="BR45" s="81">
        <v>93446</v>
      </c>
      <c r="BS45" s="81">
        <v>102710</v>
      </c>
      <c r="BT45" s="81">
        <v>111656</v>
      </c>
      <c r="BU45" s="81">
        <v>105322</v>
      </c>
    </row>
    <row r="46" spans="1:73" ht="13.2" x14ac:dyDescent="0.25">
      <c r="A46" s="57" t="s">
        <v>17</v>
      </c>
      <c r="B46" s="82">
        <v>451</v>
      </c>
      <c r="C46" s="82">
        <v>461</v>
      </c>
      <c r="D46" s="82">
        <v>474</v>
      </c>
      <c r="E46" s="82">
        <v>512</v>
      </c>
      <c r="F46" s="82">
        <v>543</v>
      </c>
      <c r="G46" s="82">
        <v>551</v>
      </c>
      <c r="H46" s="82">
        <v>566</v>
      </c>
      <c r="I46" s="120">
        <v>0</v>
      </c>
      <c r="J46" s="82">
        <v>44</v>
      </c>
      <c r="K46" s="82">
        <v>45</v>
      </c>
      <c r="L46" s="82">
        <v>46</v>
      </c>
      <c r="M46" s="82">
        <v>49</v>
      </c>
      <c r="N46" s="82">
        <v>55</v>
      </c>
      <c r="O46" s="82">
        <v>65</v>
      </c>
      <c r="P46" s="82">
        <v>66</v>
      </c>
      <c r="Q46" s="120">
        <v>70</v>
      </c>
      <c r="R46" s="82">
        <v>1151</v>
      </c>
      <c r="S46" s="82">
        <v>1173</v>
      </c>
      <c r="T46" s="82">
        <v>1216</v>
      </c>
      <c r="U46" s="82">
        <v>1230</v>
      </c>
      <c r="V46" s="82">
        <v>1245</v>
      </c>
      <c r="W46" s="82">
        <v>1263</v>
      </c>
      <c r="X46" s="82">
        <v>1280</v>
      </c>
      <c r="Y46" s="120">
        <v>1292</v>
      </c>
      <c r="Z46" s="82">
        <v>5907</v>
      </c>
      <c r="AA46" s="82">
        <f>3112+3130</f>
        <v>6242</v>
      </c>
      <c r="AB46" s="82">
        <f>3646+3274</f>
        <v>6920</v>
      </c>
      <c r="AC46" s="82">
        <f>3818+3434</f>
        <v>7252</v>
      </c>
      <c r="AD46" s="82">
        <v>7575</v>
      </c>
      <c r="AE46" s="82">
        <v>5542</v>
      </c>
      <c r="AF46" s="82">
        <v>5897</v>
      </c>
      <c r="AG46" s="120">
        <v>6308</v>
      </c>
      <c r="AH46" s="82">
        <v>42861</v>
      </c>
      <c r="AI46" s="82">
        <v>43991</v>
      </c>
      <c r="AJ46" s="82">
        <v>47247</v>
      </c>
      <c r="AK46" s="82">
        <v>52339</v>
      </c>
      <c r="AL46" s="82">
        <v>56893</v>
      </c>
      <c r="AM46" s="82">
        <v>61089</v>
      </c>
      <c r="AN46" s="82">
        <v>64140</v>
      </c>
      <c r="AO46" s="120">
        <v>67789</v>
      </c>
      <c r="AP46" s="82">
        <v>18297</v>
      </c>
      <c r="AQ46" s="82">
        <v>19332</v>
      </c>
      <c r="AR46" s="82">
        <v>20501</v>
      </c>
      <c r="AS46" s="82">
        <v>22175</v>
      </c>
      <c r="AT46" s="82">
        <v>23810</v>
      </c>
      <c r="AU46" s="82">
        <v>25410</v>
      </c>
      <c r="AV46" s="82">
        <v>26961</v>
      </c>
      <c r="AW46" s="120">
        <v>28588</v>
      </c>
      <c r="AX46" s="82">
        <v>447</v>
      </c>
      <c r="AY46" s="82">
        <v>477</v>
      </c>
      <c r="AZ46" s="82">
        <v>499</v>
      </c>
      <c r="BA46" s="82">
        <v>542</v>
      </c>
      <c r="BB46" s="82">
        <v>575</v>
      </c>
      <c r="BC46" s="82">
        <v>575</v>
      </c>
      <c r="BD46" s="82">
        <v>610</v>
      </c>
      <c r="BE46" s="120">
        <v>610</v>
      </c>
      <c r="BF46" s="82">
        <v>580</v>
      </c>
      <c r="BG46" s="82">
        <f>42+300+195+84</f>
        <v>621</v>
      </c>
      <c r="BH46" s="82">
        <f>42+313+205+113</f>
        <v>673</v>
      </c>
      <c r="BI46" s="82">
        <f>51+352+213+141</f>
        <v>757</v>
      </c>
      <c r="BJ46" s="82">
        <v>810</v>
      </c>
      <c r="BK46" s="82">
        <v>830</v>
      </c>
      <c r="BL46" s="82">
        <v>859</v>
      </c>
      <c r="BM46" s="120">
        <v>870</v>
      </c>
      <c r="BN46" s="82">
        <v>69738</v>
      </c>
      <c r="BO46" s="82">
        <v>72342</v>
      </c>
      <c r="BP46" s="82">
        <v>77588</v>
      </c>
      <c r="BQ46" s="82">
        <v>84856</v>
      </c>
      <c r="BR46" s="82">
        <v>91545</v>
      </c>
      <c r="BS46" s="82">
        <v>95325</v>
      </c>
      <c r="BT46" s="82">
        <v>100379</v>
      </c>
      <c r="BU46" s="82">
        <v>105527</v>
      </c>
    </row>
    <row r="47" spans="1:73" ht="13.2" x14ac:dyDescent="0.25">
      <c r="A47" s="57" t="s">
        <v>18</v>
      </c>
      <c r="B47" s="81">
        <v>41142</v>
      </c>
      <c r="C47" s="81">
        <v>43250</v>
      </c>
      <c r="D47" s="81">
        <v>45757</v>
      </c>
      <c r="E47" s="81">
        <v>20142</v>
      </c>
      <c r="F47" s="81">
        <v>19912</v>
      </c>
      <c r="G47" s="81">
        <v>19590</v>
      </c>
      <c r="H47" s="81">
        <v>19695</v>
      </c>
      <c r="I47" s="119">
        <v>43723</v>
      </c>
      <c r="J47" s="81">
        <v>50351</v>
      </c>
      <c r="K47" s="81">
        <v>55530</v>
      </c>
      <c r="L47" s="81">
        <v>62839</v>
      </c>
      <c r="M47" s="81">
        <v>62335</v>
      </c>
      <c r="N47" s="81">
        <v>63082</v>
      </c>
      <c r="O47" s="81">
        <v>55543</v>
      </c>
      <c r="P47" s="81">
        <v>62405</v>
      </c>
      <c r="Q47" s="119">
        <v>91073</v>
      </c>
      <c r="R47" s="81">
        <v>179640</v>
      </c>
      <c r="S47" s="81">
        <v>182784</v>
      </c>
      <c r="T47" s="81">
        <v>190693</v>
      </c>
      <c r="U47" s="81">
        <v>68653</v>
      </c>
      <c r="V47" s="81">
        <v>11407</v>
      </c>
      <c r="W47" s="81">
        <v>11307</v>
      </c>
      <c r="X47" s="81">
        <v>11301</v>
      </c>
      <c r="Y47" s="119">
        <v>198137</v>
      </c>
      <c r="Z47" s="81">
        <v>208294</v>
      </c>
      <c r="AA47" s="81">
        <f>85384+140872</f>
        <v>226256</v>
      </c>
      <c r="AB47" s="81">
        <f>86301+156030</f>
        <v>242331</v>
      </c>
      <c r="AC47" s="81">
        <f>4792+124547</f>
        <v>129339</v>
      </c>
      <c r="AD47" s="81">
        <v>131715</v>
      </c>
      <c r="AE47" s="81">
        <v>142203</v>
      </c>
      <c r="AF47" s="81">
        <v>153406</v>
      </c>
      <c r="AG47" s="119">
        <v>281159</v>
      </c>
      <c r="AH47" s="81">
        <v>3846721</v>
      </c>
      <c r="AI47" s="81">
        <v>4107912</v>
      </c>
      <c r="AJ47" s="81">
        <v>4395086</v>
      </c>
      <c r="AK47" s="81">
        <v>4661714</v>
      </c>
      <c r="AL47" s="81">
        <v>4980507</v>
      </c>
      <c r="AM47" s="81">
        <v>5322128</v>
      </c>
      <c r="AN47" s="81">
        <v>5698242</v>
      </c>
      <c r="AO47" s="119">
        <v>6104070</v>
      </c>
      <c r="AP47" s="81">
        <v>1802251</v>
      </c>
      <c r="AQ47" s="81">
        <v>1956574</v>
      </c>
      <c r="AR47" s="81">
        <v>2116107</v>
      </c>
      <c r="AS47" s="81">
        <v>2172069</v>
      </c>
      <c r="AT47" s="81">
        <v>2416974</v>
      </c>
      <c r="AU47" s="81">
        <v>2568380</v>
      </c>
      <c r="AV47" s="81">
        <v>2730071</v>
      </c>
      <c r="AW47" s="119">
        <v>2986579</v>
      </c>
      <c r="AX47" s="81">
        <v>78884</v>
      </c>
      <c r="AY47" s="81">
        <v>79418</v>
      </c>
      <c r="AZ47" s="81">
        <v>79488</v>
      </c>
      <c r="BA47" s="81">
        <v>68648</v>
      </c>
      <c r="BB47" s="81">
        <v>67821</v>
      </c>
      <c r="BC47" s="81">
        <v>67359</v>
      </c>
      <c r="BD47" s="81">
        <v>67144</v>
      </c>
      <c r="BE47" s="81" t="s">
        <v>43</v>
      </c>
      <c r="BF47" s="81">
        <v>94884</v>
      </c>
      <c r="BG47" s="81">
        <f>89367+5294+99+364</f>
        <v>95124</v>
      </c>
      <c r="BH47" s="81">
        <f>89368+5384+99+519</f>
        <v>95370</v>
      </c>
      <c r="BI47" s="81">
        <f>89373+1343+76504</f>
        <v>167220</v>
      </c>
      <c r="BJ47" s="81">
        <v>2018</v>
      </c>
      <c r="BK47" s="81">
        <v>456</v>
      </c>
      <c r="BL47" s="81">
        <v>598</v>
      </c>
      <c r="BM47" s="119">
        <v>0</v>
      </c>
      <c r="BN47" s="81">
        <v>6302167</v>
      </c>
      <c r="BO47" s="81">
        <v>6746848</v>
      </c>
      <c r="BP47" s="81">
        <v>7227671</v>
      </c>
      <c r="BQ47" s="81">
        <v>7350120</v>
      </c>
      <c r="BR47" s="81">
        <v>7785283</v>
      </c>
      <c r="BS47" s="81">
        <v>8292757</v>
      </c>
      <c r="BT47" s="81">
        <v>8850720</v>
      </c>
      <c r="BU47" s="81">
        <v>9704741</v>
      </c>
    </row>
    <row r="48" spans="1:73" ht="13.2" x14ac:dyDescent="0.25">
      <c r="A48" s="57" t="s">
        <v>19</v>
      </c>
      <c r="B48" s="82">
        <v>19</v>
      </c>
      <c r="C48" s="82">
        <v>0</v>
      </c>
      <c r="D48" s="82">
        <v>0</v>
      </c>
      <c r="E48" s="82">
        <v>0</v>
      </c>
      <c r="F48" s="82">
        <v>0</v>
      </c>
      <c r="G48" s="82">
        <v>37</v>
      </c>
      <c r="H48" s="82">
        <v>37</v>
      </c>
      <c r="I48" s="120">
        <v>0</v>
      </c>
      <c r="J48" s="82">
        <v>0</v>
      </c>
      <c r="K48" s="82">
        <v>105</v>
      </c>
      <c r="L48" s="82">
        <v>140</v>
      </c>
      <c r="M48" s="82">
        <v>207</v>
      </c>
      <c r="N48" s="82">
        <v>262</v>
      </c>
      <c r="O48" s="82">
        <v>364</v>
      </c>
      <c r="P48" s="82">
        <v>435</v>
      </c>
      <c r="Q48" s="120">
        <v>329</v>
      </c>
      <c r="R48" s="82">
        <v>321</v>
      </c>
      <c r="S48" s="82">
        <v>321</v>
      </c>
      <c r="T48" s="82">
        <v>366</v>
      </c>
      <c r="U48" s="82">
        <v>420</v>
      </c>
      <c r="V48" s="82">
        <v>479</v>
      </c>
      <c r="W48" s="82">
        <v>487</v>
      </c>
      <c r="X48" s="82">
        <v>566</v>
      </c>
      <c r="Y48" s="120">
        <v>652</v>
      </c>
      <c r="Z48" s="82">
        <v>452</v>
      </c>
      <c r="AA48" s="82">
        <v>494</v>
      </c>
      <c r="AB48" s="82">
        <v>590</v>
      </c>
      <c r="AC48" s="82">
        <v>728</v>
      </c>
      <c r="AD48" s="82">
        <v>879</v>
      </c>
      <c r="AE48" s="82">
        <v>1190</v>
      </c>
      <c r="AF48" s="82">
        <v>1337</v>
      </c>
      <c r="AG48" s="120">
        <v>1202</v>
      </c>
      <c r="AH48" s="82">
        <v>5639</v>
      </c>
      <c r="AI48" s="82">
        <v>6206</v>
      </c>
      <c r="AJ48" s="82">
        <v>6888</v>
      </c>
      <c r="AK48" s="82">
        <v>7698</v>
      </c>
      <c r="AL48" s="82">
        <v>8561</v>
      </c>
      <c r="AM48" s="82">
        <v>10071</v>
      </c>
      <c r="AN48" s="82">
        <v>10943</v>
      </c>
      <c r="AO48" s="120">
        <v>13093</v>
      </c>
      <c r="AP48" s="82">
        <v>48</v>
      </c>
      <c r="AQ48" s="82">
        <v>64</v>
      </c>
      <c r="AR48" s="82">
        <v>87</v>
      </c>
      <c r="AS48" s="82">
        <v>122</v>
      </c>
      <c r="AT48" s="82">
        <v>165</v>
      </c>
      <c r="AU48" s="82">
        <v>148</v>
      </c>
      <c r="AV48" s="82">
        <v>180</v>
      </c>
      <c r="AW48" s="120">
        <v>90</v>
      </c>
      <c r="AX48" s="82">
        <v>94</v>
      </c>
      <c r="AY48" s="82">
        <v>95</v>
      </c>
      <c r="AZ48" s="82">
        <v>99</v>
      </c>
      <c r="BA48" s="82">
        <v>121</v>
      </c>
      <c r="BB48" s="82">
        <v>149</v>
      </c>
      <c r="BC48" s="82">
        <v>126</v>
      </c>
      <c r="BD48" s="82">
        <v>132</v>
      </c>
      <c r="BE48" s="120">
        <v>32</v>
      </c>
      <c r="BF48" s="82">
        <v>662</v>
      </c>
      <c r="BG48" s="82">
        <f>0+72+0+498</f>
        <v>570</v>
      </c>
      <c r="BH48" s="82">
        <f>84+499</f>
        <v>583</v>
      </c>
      <c r="BI48" s="82">
        <f>102+499</f>
        <v>601</v>
      </c>
      <c r="BJ48" s="82">
        <v>610</v>
      </c>
      <c r="BK48" s="82">
        <v>601</v>
      </c>
      <c r="BL48" s="82">
        <v>601</v>
      </c>
      <c r="BM48" s="120">
        <v>610</v>
      </c>
      <c r="BN48" s="82">
        <v>7235</v>
      </c>
      <c r="BO48" s="82">
        <v>7855</v>
      </c>
      <c r="BP48" s="82">
        <v>8753</v>
      </c>
      <c r="BQ48" s="82">
        <v>9897</v>
      </c>
      <c r="BR48" s="82">
        <v>11105</v>
      </c>
      <c r="BS48" s="82">
        <v>13024</v>
      </c>
      <c r="BT48" s="82">
        <v>14231</v>
      </c>
      <c r="BU48" s="82">
        <v>16008</v>
      </c>
    </row>
    <row r="49" spans="1:73" ht="13.2" x14ac:dyDescent="0.25">
      <c r="A49" s="57" t="s">
        <v>36</v>
      </c>
      <c r="B49" s="81">
        <v>2235</v>
      </c>
      <c r="C49" s="81">
        <v>2373</v>
      </c>
      <c r="D49" s="81">
        <v>2493</v>
      </c>
      <c r="E49" s="81">
        <v>2596</v>
      </c>
      <c r="F49" s="81">
        <v>3987</v>
      </c>
      <c r="G49" s="81">
        <v>4098</v>
      </c>
      <c r="H49" s="81">
        <v>4251</v>
      </c>
      <c r="I49" s="119">
        <v>3403</v>
      </c>
      <c r="J49" s="81">
        <v>1847</v>
      </c>
      <c r="K49" s="81">
        <v>1892</v>
      </c>
      <c r="L49" s="81">
        <v>1943</v>
      </c>
      <c r="M49" s="81">
        <v>1990</v>
      </c>
      <c r="N49" s="81">
        <v>762</v>
      </c>
      <c r="O49" s="81">
        <v>850</v>
      </c>
      <c r="P49" s="81">
        <v>1060</v>
      </c>
      <c r="Q49" s="119">
        <v>2329</v>
      </c>
      <c r="R49" s="81">
        <v>5062</v>
      </c>
      <c r="S49" s="81">
        <v>5124</v>
      </c>
      <c r="T49" s="81">
        <v>5217</v>
      </c>
      <c r="U49" s="81">
        <v>5221</v>
      </c>
      <c r="V49" s="81">
        <v>6321</v>
      </c>
      <c r="W49" s="81">
        <v>6382</v>
      </c>
      <c r="X49" s="81">
        <v>6431</v>
      </c>
      <c r="Y49" s="119">
        <v>6685</v>
      </c>
      <c r="Z49" s="81">
        <v>14660</v>
      </c>
      <c r="AA49" s="81">
        <f>7745+7799</f>
        <v>15544</v>
      </c>
      <c r="AB49" s="81">
        <f>7832+8811</f>
        <v>16643</v>
      </c>
      <c r="AC49" s="81">
        <f>7849+10544</f>
        <v>18393</v>
      </c>
      <c r="AD49" s="81">
        <v>15228</v>
      </c>
      <c r="AE49" s="81">
        <v>15781</v>
      </c>
      <c r="AF49" s="81">
        <v>16113</v>
      </c>
      <c r="AG49" s="119">
        <v>13724</v>
      </c>
      <c r="AH49" s="81">
        <v>434072</v>
      </c>
      <c r="AI49" s="81">
        <v>488490</v>
      </c>
      <c r="AJ49" s="81">
        <v>553711</v>
      </c>
      <c r="AK49" s="81">
        <v>625251</v>
      </c>
      <c r="AL49" s="81">
        <v>600278</v>
      </c>
      <c r="AM49" s="81">
        <v>644651</v>
      </c>
      <c r="AN49" s="81">
        <v>689568</v>
      </c>
      <c r="AO49" s="119">
        <v>742466</v>
      </c>
      <c r="AP49" s="81">
        <v>64631</v>
      </c>
      <c r="AQ49" s="81">
        <v>69813</v>
      </c>
      <c r="AR49" s="81">
        <v>76678</v>
      </c>
      <c r="AS49" s="81">
        <v>85418</v>
      </c>
      <c r="AT49" s="81">
        <v>65016</v>
      </c>
      <c r="AU49" s="81">
        <v>70864</v>
      </c>
      <c r="AV49" s="81">
        <v>76547</v>
      </c>
      <c r="AW49" s="119">
        <v>83085</v>
      </c>
      <c r="AX49" s="81">
        <v>3881</v>
      </c>
      <c r="AY49" s="81">
        <v>3881</v>
      </c>
      <c r="AZ49" s="81">
        <v>3882</v>
      </c>
      <c r="BA49" s="81">
        <v>3882</v>
      </c>
      <c r="BB49" s="81">
        <v>1321</v>
      </c>
      <c r="BC49" s="81">
        <v>1321</v>
      </c>
      <c r="BD49" s="81">
        <v>1321</v>
      </c>
      <c r="BE49" s="119">
        <v>1349</v>
      </c>
      <c r="BF49" s="81">
        <v>11860</v>
      </c>
      <c r="BG49" s="81">
        <f>2958+900+1732+6422</f>
        <v>12012</v>
      </c>
      <c r="BH49" s="81">
        <f>3045+993+1759+6439</f>
        <v>12236</v>
      </c>
      <c r="BI49" s="81">
        <f>3123+1077+1781+6544</f>
        <v>12525</v>
      </c>
      <c r="BJ49" s="81">
        <v>6701</v>
      </c>
      <c r="BK49" s="81">
        <v>6951</v>
      </c>
      <c r="BL49" s="81">
        <v>7290</v>
      </c>
      <c r="BM49" s="119">
        <v>10272</v>
      </c>
      <c r="BN49" s="81">
        <v>538248</v>
      </c>
      <c r="BO49" s="81">
        <v>599129</v>
      </c>
      <c r="BP49" s="81">
        <v>672803</v>
      </c>
      <c r="BQ49" s="81">
        <v>755276</v>
      </c>
      <c r="BR49" s="81">
        <v>699614</v>
      </c>
      <c r="BS49" s="81">
        <v>750898</v>
      </c>
      <c r="BT49" s="81">
        <v>802581</v>
      </c>
      <c r="BU49" s="81">
        <v>863313</v>
      </c>
    </row>
    <row r="50" spans="1:73" ht="13.2" x14ac:dyDescent="0.25">
      <c r="A50" s="62"/>
      <c r="B50" s="82"/>
      <c r="C50" s="82"/>
      <c r="D50" s="82"/>
      <c r="E50" s="82"/>
      <c r="F50" s="82"/>
      <c r="G50" s="82"/>
      <c r="H50" s="82"/>
      <c r="I50" s="120"/>
      <c r="J50" s="82"/>
      <c r="K50" s="82"/>
      <c r="L50" s="82"/>
      <c r="M50" s="82"/>
      <c r="N50" s="82"/>
      <c r="O50" s="82"/>
      <c r="P50" s="82"/>
      <c r="Q50" s="120"/>
      <c r="R50" s="82"/>
      <c r="S50" s="82"/>
      <c r="T50" s="82"/>
      <c r="U50" s="82"/>
      <c r="V50" s="82"/>
      <c r="W50" s="82"/>
      <c r="X50" s="82"/>
      <c r="Y50" s="120"/>
      <c r="Z50" s="82"/>
      <c r="AA50" s="82"/>
      <c r="AB50" s="82"/>
      <c r="AC50" s="82"/>
      <c r="AD50" s="82"/>
      <c r="AE50" s="82"/>
      <c r="AF50" s="82"/>
      <c r="AG50" s="120"/>
      <c r="AH50" s="82"/>
      <c r="AI50" s="82"/>
      <c r="AJ50" s="82"/>
      <c r="AK50" s="82"/>
      <c r="AL50" s="82"/>
      <c r="AM50" s="82"/>
      <c r="AN50" s="82"/>
      <c r="AO50" s="120"/>
      <c r="AP50" s="82"/>
      <c r="AQ50" s="82"/>
      <c r="AR50" s="82"/>
      <c r="AS50" s="82"/>
      <c r="AT50" s="82"/>
      <c r="AU50" s="82"/>
      <c r="AV50" s="82"/>
      <c r="AW50" s="120"/>
      <c r="AX50" s="82"/>
      <c r="AY50" s="82"/>
      <c r="AZ50" s="82"/>
      <c r="BA50" s="82"/>
      <c r="BB50" s="82"/>
      <c r="BC50" s="82"/>
      <c r="BD50" s="82"/>
      <c r="BE50" s="120"/>
      <c r="BF50" s="82"/>
      <c r="BG50" s="82"/>
      <c r="BH50" s="82"/>
      <c r="BI50" s="82"/>
      <c r="BJ50" s="82"/>
      <c r="BK50" s="82"/>
      <c r="BL50" s="82"/>
      <c r="BM50" s="120"/>
      <c r="BN50" s="82"/>
      <c r="BO50" s="82"/>
      <c r="BP50" s="82"/>
      <c r="BQ50" s="82"/>
      <c r="BR50" s="82"/>
      <c r="BS50" s="82"/>
      <c r="BT50" s="82"/>
      <c r="BU50" s="82"/>
    </row>
    <row r="51" spans="1:73" ht="13.2" x14ac:dyDescent="0.25">
      <c r="A51" s="105"/>
      <c r="B51" s="81"/>
      <c r="C51" s="81"/>
      <c r="D51" s="81"/>
      <c r="E51" s="81"/>
      <c r="F51" s="81"/>
      <c r="G51" s="81"/>
      <c r="H51" s="81"/>
      <c r="I51" s="121"/>
      <c r="J51" s="81"/>
      <c r="K51" s="81"/>
      <c r="L51" s="81"/>
      <c r="M51" s="81"/>
      <c r="N51" s="81"/>
      <c r="O51" s="81"/>
      <c r="P51" s="81"/>
      <c r="Q51" s="121"/>
      <c r="R51" s="81"/>
      <c r="S51" s="81"/>
      <c r="T51" s="81"/>
      <c r="U51" s="81"/>
      <c r="V51" s="81"/>
      <c r="W51" s="81"/>
      <c r="X51" s="81"/>
      <c r="Y51" s="121"/>
      <c r="Z51" s="81"/>
      <c r="AA51" s="81"/>
      <c r="AB51" s="81"/>
      <c r="AC51" s="81"/>
      <c r="AD51" s="81"/>
      <c r="AE51" s="81"/>
      <c r="AF51" s="81"/>
      <c r="AG51" s="121"/>
      <c r="AH51" s="81"/>
      <c r="AI51" s="81"/>
      <c r="AJ51" s="81"/>
      <c r="AK51" s="81"/>
      <c r="AL51" s="81"/>
      <c r="AM51" s="81"/>
      <c r="AN51" s="81"/>
      <c r="AO51" s="121"/>
      <c r="AP51" s="81"/>
      <c r="AQ51" s="81"/>
      <c r="AR51" s="81"/>
      <c r="AS51" s="81"/>
      <c r="AT51" s="81"/>
      <c r="AU51" s="81"/>
      <c r="AV51" s="81"/>
      <c r="AW51" s="121"/>
      <c r="AX51" s="81"/>
      <c r="AY51" s="81"/>
      <c r="AZ51" s="81"/>
      <c r="BA51" s="81"/>
      <c r="BB51" s="81"/>
      <c r="BC51" s="81"/>
      <c r="BD51" s="81"/>
      <c r="BE51" s="121"/>
      <c r="BF51" s="81"/>
      <c r="BG51" s="81"/>
      <c r="BH51" s="81"/>
      <c r="BI51" s="81"/>
      <c r="BJ51" s="81"/>
      <c r="BK51" s="81"/>
      <c r="BL51" s="81"/>
      <c r="BM51" s="121"/>
      <c r="BN51" s="81"/>
      <c r="BO51" s="93"/>
      <c r="BP51" s="93"/>
      <c r="BQ51" s="93"/>
      <c r="BR51" s="81"/>
      <c r="BS51" s="81"/>
      <c r="BT51" s="81"/>
      <c r="BU51" s="81"/>
    </row>
    <row r="52" spans="1:73" ht="13.2" x14ac:dyDescent="0.25">
      <c r="A52" s="94"/>
      <c r="B52" s="63" t="s">
        <v>69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 t="s">
        <v>69</v>
      </c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 t="s">
        <v>69</v>
      </c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95"/>
      <c r="BG52" s="95"/>
      <c r="BH52" s="95"/>
      <c r="BI52" s="95"/>
      <c r="BJ52" s="63"/>
      <c r="BK52" s="63"/>
      <c r="BL52" s="63"/>
      <c r="BM52" s="63"/>
      <c r="BN52" s="95"/>
      <c r="BO52" s="67"/>
      <c r="BP52" s="67"/>
      <c r="BQ52" s="67"/>
      <c r="BR52" s="63"/>
      <c r="BS52" s="63"/>
      <c r="BT52" s="63"/>
      <c r="BU52" s="63"/>
    </row>
    <row r="53" spans="1:73" ht="13.2" x14ac:dyDescent="0.25">
      <c r="A53" s="96"/>
      <c r="B53" s="65" t="s">
        <v>45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 t="s">
        <v>45</v>
      </c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97"/>
      <c r="AQ53" s="65" t="s">
        <v>45</v>
      </c>
      <c r="AR53" s="97"/>
      <c r="AS53" s="97"/>
      <c r="AT53" s="65"/>
      <c r="AU53" s="65"/>
      <c r="AV53" s="65"/>
      <c r="AW53" s="65"/>
      <c r="AX53" s="97"/>
      <c r="AY53" s="97"/>
      <c r="AZ53" s="97"/>
      <c r="BA53" s="97"/>
      <c r="BB53" s="65"/>
      <c r="BC53" s="65"/>
      <c r="BD53" s="65"/>
      <c r="BE53" s="65"/>
      <c r="BF53" s="97"/>
      <c r="BG53" s="98"/>
      <c r="BH53" s="98"/>
      <c r="BI53" s="98"/>
      <c r="BJ53" s="65"/>
      <c r="BK53" s="65"/>
      <c r="BL53" s="65"/>
      <c r="BM53" s="65"/>
      <c r="BN53" s="97"/>
      <c r="BO53" s="67"/>
      <c r="BP53" s="67"/>
      <c r="BQ53" s="67"/>
      <c r="BR53" s="65"/>
      <c r="BS53" s="65"/>
      <c r="BT53" s="65"/>
      <c r="BU53" s="65"/>
    </row>
    <row r="54" spans="1:73" ht="13.2" x14ac:dyDescent="0.25">
      <c r="A54" s="96"/>
      <c r="B54" s="99" t="s">
        <v>57</v>
      </c>
      <c r="C54" s="99"/>
      <c r="D54" s="99"/>
      <c r="E54" s="99"/>
      <c r="F54" s="99"/>
      <c r="G54" s="100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 t="s">
        <v>57</v>
      </c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 t="s">
        <v>57</v>
      </c>
      <c r="AR54" s="101"/>
      <c r="AS54" s="97"/>
      <c r="AT54" s="99"/>
      <c r="AU54" s="99"/>
      <c r="AV54" s="99"/>
      <c r="AW54" s="99"/>
      <c r="AX54" s="97"/>
      <c r="AY54" s="97"/>
      <c r="AZ54" s="97"/>
      <c r="BA54" s="97"/>
      <c r="BB54" s="99"/>
      <c r="BC54" s="99"/>
      <c r="BD54" s="99"/>
      <c r="BE54" s="99"/>
      <c r="BF54" s="97"/>
      <c r="BG54" s="98"/>
      <c r="BH54" s="98"/>
      <c r="BI54" s="98"/>
      <c r="BJ54" s="99"/>
      <c r="BK54" s="99"/>
      <c r="BL54" s="99"/>
      <c r="BM54" s="99"/>
      <c r="BN54" s="97"/>
      <c r="BO54" s="67"/>
      <c r="BP54" s="67"/>
      <c r="BQ54" s="67"/>
      <c r="BR54" s="99"/>
      <c r="BS54" s="99"/>
      <c r="BT54" s="99"/>
      <c r="BU54" s="99"/>
    </row>
    <row r="55" spans="1:73" ht="13.2" x14ac:dyDescent="0.25">
      <c r="A55" s="96"/>
      <c r="B55" s="65" t="s">
        <v>46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 t="s">
        <v>46</v>
      </c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 t="s">
        <v>46</v>
      </c>
      <c r="AR55" s="101"/>
      <c r="AS55" s="97"/>
      <c r="AT55" s="65"/>
      <c r="AU55" s="65"/>
      <c r="AV55" s="65"/>
      <c r="AW55" s="65"/>
      <c r="AX55" s="97"/>
      <c r="AY55" s="102"/>
      <c r="AZ55" s="97"/>
      <c r="BA55" s="97"/>
      <c r="BB55" s="65"/>
      <c r="BC55" s="65"/>
      <c r="BD55" s="65"/>
      <c r="BE55" s="65"/>
      <c r="BF55" s="97"/>
      <c r="BG55" s="98"/>
      <c r="BH55" s="98"/>
      <c r="BI55" s="98"/>
      <c r="BJ55" s="65"/>
      <c r="BK55" s="65"/>
      <c r="BL55" s="65"/>
      <c r="BM55" s="65"/>
      <c r="BN55" s="97"/>
      <c r="BO55" s="67"/>
      <c r="BP55" s="67"/>
      <c r="BQ55" s="67"/>
      <c r="BR55" s="65"/>
      <c r="BS55" s="65"/>
      <c r="BT55" s="65"/>
      <c r="BU55" s="65"/>
    </row>
    <row r="56" spans="1:73" ht="13.2" x14ac:dyDescent="0.25">
      <c r="A56" s="96"/>
      <c r="B56" s="64" t="s">
        <v>63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4" t="s">
        <v>63</v>
      </c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97"/>
      <c r="AQ56" s="64" t="s">
        <v>63</v>
      </c>
      <c r="AR56" s="102"/>
      <c r="AS56" s="103"/>
      <c r="AT56" s="65"/>
      <c r="AU56" s="65"/>
      <c r="AV56" s="65"/>
      <c r="AW56" s="65"/>
      <c r="AX56" s="103"/>
      <c r="AY56" s="97"/>
      <c r="AZ56" s="103"/>
      <c r="BA56" s="103"/>
      <c r="BB56" s="65"/>
      <c r="BC56" s="65"/>
      <c r="BD56" s="65"/>
      <c r="BE56" s="65"/>
      <c r="BF56" s="103"/>
      <c r="BG56" s="98"/>
      <c r="BH56" s="98"/>
      <c r="BI56" s="98"/>
      <c r="BJ56" s="65"/>
      <c r="BK56" s="65"/>
      <c r="BL56" s="65"/>
      <c r="BM56" s="65"/>
      <c r="BN56" s="103"/>
      <c r="BO56" s="67"/>
      <c r="BP56" s="67"/>
      <c r="BQ56" s="67"/>
      <c r="BR56" s="65"/>
      <c r="BS56" s="65"/>
      <c r="BT56" s="65"/>
      <c r="BU56" s="65"/>
    </row>
    <row r="57" spans="1:73" ht="13.2" x14ac:dyDescent="0.25">
      <c r="A57" s="69"/>
      <c r="B57" s="65" t="s">
        <v>59</v>
      </c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5" t="s">
        <v>59</v>
      </c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5" t="s">
        <v>59</v>
      </c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</row>
    <row r="58" spans="1:73" ht="13.2" x14ac:dyDescent="0.25">
      <c r="A58" s="69"/>
      <c r="B58" s="64" t="s">
        <v>64</v>
      </c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4" t="s">
        <v>64</v>
      </c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4" t="s">
        <v>64</v>
      </c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</row>
    <row r="59" spans="1:73" ht="13.2" x14ac:dyDescent="0.25">
      <c r="A59" s="69"/>
      <c r="B59" s="65" t="s">
        <v>58</v>
      </c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5" t="s">
        <v>58</v>
      </c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5" t="s">
        <v>58</v>
      </c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</row>
    <row r="60" spans="1:73" ht="12.6" thickBot="1" x14ac:dyDescent="0.25">
      <c r="A60" s="71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</row>
  </sheetData>
  <mergeCells count="18">
    <mergeCell ref="A7:A8"/>
    <mergeCell ref="Z7:AF7"/>
    <mergeCell ref="R7:X7"/>
    <mergeCell ref="J7:P7"/>
    <mergeCell ref="B7:H7"/>
    <mergeCell ref="B8:H8"/>
    <mergeCell ref="J8:P8"/>
    <mergeCell ref="R8:X8"/>
    <mergeCell ref="Z8:AF8"/>
    <mergeCell ref="AH8:AN8"/>
    <mergeCell ref="AP8:AV8"/>
    <mergeCell ref="AX8:BD8"/>
    <mergeCell ref="BF8:BL8"/>
    <mergeCell ref="BN7:BT8"/>
    <mergeCell ref="BF7:BL7"/>
    <mergeCell ref="AX7:BD7"/>
    <mergeCell ref="AP7:AV7"/>
    <mergeCell ref="AH7:AN7"/>
  </mergeCells>
  <pageMargins left="0.70866141732283472" right="0.70866141732283472" top="0.74803149606299213" bottom="0.74803149606299213" header="0.31496062992125984" footer="0.31496062992125984"/>
  <pageSetup paperSize="9" scale="69" fitToWidth="3" orientation="portrait" r:id="rId1"/>
  <colBreaks count="8" manualBreakCount="8">
    <brk id="9" max="59" man="1"/>
    <brk id="17" max="59" man="1"/>
    <brk id="25" max="59" man="1"/>
    <brk id="33" max="59" man="1"/>
    <brk id="41" max="59" man="1"/>
    <brk id="49" max="59" man="1"/>
    <brk id="57" max="59" man="1"/>
    <brk id="65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Table 20.1(All India)</vt:lpstr>
      <vt:lpstr>Table 20.1(State Wise)</vt:lpstr>
      <vt:lpstr>'Table 20.1(All India)'!Print_Area</vt:lpstr>
      <vt:lpstr>'Table 20.1(State Wise)'!Print_Area</vt:lpstr>
      <vt:lpstr>'Table 20.1(State Wise)'!Print_Titles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WEB-2</dc:creator>
  <cp:lastModifiedBy>Ashwin</cp:lastModifiedBy>
  <cp:lastPrinted>2018-03-19T07:11:26Z</cp:lastPrinted>
  <dcterms:created xsi:type="dcterms:W3CDTF">2001-02-13T14:57:03Z</dcterms:created>
  <dcterms:modified xsi:type="dcterms:W3CDTF">2020-06-14T18:17:18Z</dcterms:modified>
</cp:coreProperties>
</file>