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3"/>
  </bookViews>
  <sheets>
    <sheet name="CONSTRUCTIONS" sheetId="1" r:id="rId1"/>
    <sheet name="MATERIALS" sheetId="2" r:id="rId2"/>
    <sheet name="WINDOWS" sheetId="3" r:id="rId3"/>
    <sheet name="WIN LAYERS" sheetId="4" r:id="rId4"/>
    <sheet name="SCHEDULES" sheetId="5" r:id="rId5"/>
    <sheet name="DAY_SCH" sheetId="6" r:id="rId6"/>
    <sheet name="D" sheetId="7" r:id="rId7"/>
    <sheet name="Templ-Cons" sheetId="8" r:id="rId8"/>
    <sheet name="Templ-Mats" sheetId="9" r:id="rId9"/>
    <sheet name="Templ-Win" sheetId="10" r:id="rId10"/>
    <sheet name="CSV1" sheetId="11" r:id="rId11"/>
    <sheet name="CSV2" sheetId="12" r:id="rId12"/>
    <sheet name="CSV3" sheetId="13" r:id="rId13"/>
    <sheet name="CSV4" sheetId="14" r:id="rId14"/>
    <sheet name="Data" sheetId="15" r:id="rId15"/>
  </sheets>
  <definedNames>
    <definedName name="__shared_10_0_0">#REF!+1</definedName>
    <definedName name="__shared_10_0_1">#REF!+0.01</definedName>
    <definedName name="__shared_10_0_2">#REF!+1</definedName>
    <definedName name="__shared_10_0_3">#REF!+0.01</definedName>
    <definedName name="__shared_10_0_4">#REF!+1</definedName>
    <definedName name="__shared_10_0_5">#REF!+0.01</definedName>
    <definedName name="__shared_10_0_6">#REF!+1</definedName>
    <definedName name="__shared_10_0_7">#REF!+0.01</definedName>
    <definedName name="__shared_12_0_0">#REF!+1</definedName>
    <definedName name="__shared_12_0_1">#REF!+1</definedName>
    <definedName name="__shared_12_0_2">#REF!+1</definedName>
    <definedName name="__shared_15_0_0">"Material "&amp;#REF!</definedName>
    <definedName name="__shared_15_0_1">"Material "&amp;#REF!</definedName>
    <definedName name="__shared_15_0_10">#REF!+1</definedName>
    <definedName name="__shared_15_0_3">#REF!+1</definedName>
    <definedName name="__shared_15_0_4">"Material "&amp;#REF!</definedName>
    <definedName name="__shared_15_0_6">"Material "&amp;#REF!</definedName>
    <definedName name="__shared_15_0_8">#REF!</definedName>
    <definedName name="__shared_2_0_1">#REF!+1</definedName>
    <definedName name="__shared_2_0_11">#REF!+1</definedName>
    <definedName name="__shared_2_0_13">"AF"&amp;(#REF!)</definedName>
    <definedName name="__shared_2_0_15">#REF!+1</definedName>
    <definedName name="__shared_2_0_17">"AF"&amp;(#REF!)</definedName>
    <definedName name="__shared_2_0_20">#REF!+1</definedName>
    <definedName name="__shared_2_0_22">"AF"&amp;(#REF!)</definedName>
    <definedName name="__shared_2_0_24">#REF!+1</definedName>
    <definedName name="__shared_2_0_26">"AF"&amp;(#REF!)</definedName>
    <definedName name="__shared_2_0_29">#REF!+1</definedName>
    <definedName name="__shared_2_0_3">#REF!+1</definedName>
    <definedName name="__shared_2_0_32">"NM0"&amp;#REF!</definedName>
    <definedName name="__shared_2_0_33">#REF!+1</definedName>
    <definedName name="__shared_2_0_35">"NM"&amp;#REF!</definedName>
    <definedName name="__shared_2_0_37">#REF!+1</definedName>
    <definedName name="__shared_2_0_39">"NM"&amp;#REF!</definedName>
    <definedName name="__shared_2_0_5">#REF!+1</definedName>
    <definedName name="__shared_2_0_8">"AF"&amp;(#REF!)</definedName>
    <definedName name="__shared_3_0_16">#REF!+1</definedName>
    <definedName name="__shared_3_0_19">"G"&amp;#REF!</definedName>
    <definedName name="__shared_3_0_20">#REF!+10</definedName>
    <definedName name="__shared_4_0_1">#REF!+1</definedName>
    <definedName name="__shared_4_0_3">#REF!+10</definedName>
    <definedName name="__shared_4_0_4">#REF!+10</definedName>
    <definedName name="__shared_5_0_0">#REF!+1</definedName>
    <definedName name="__shared_5_0_2">#REF!+1</definedName>
    <definedName name="__shared_5_0_3">" "</definedName>
    <definedName name="__shared_6_0_1">" "</definedName>
    <definedName name="__shared_6_0_2">" "</definedName>
    <definedName name="__shared_6_0_3">" "</definedName>
    <definedName name="__shared_7_0_0">IF(INDIRECT(ADDRESS((ROW(#REF!)-1)*14+5,3,4,1,"SCHEDULES"),1)=0," ",INDIRECT(ADDRESS((ROW(#REF!)-1)*14+5,3,4,1,"SCHEDULES"),1))</definedName>
    <definedName name="__shared_7_0_1">IF(INDIRECT(ADDRESS((ROW(#REF!)-1)*14+5,3,4,1,"SCHEDULES"),1)=0," ",INDIRECT(ADDRESS((ROW(#REF!)-1)*14+5,3,4,1,"SCHEDULES"),1))</definedName>
    <definedName name="__shared_9_0_0">#REF!+1</definedName>
    <definedName name="__shared_9_0_1">#REF!+1</definedName>
    <definedName name="__shared_9_0_2">#REF!+1</definedName>
    <definedName name="__shared_9_0_3">#REF!+1</definedName>
    <definedName name="__shared_9_0_4">#REF!+1</definedName>
    <definedName name="__shared_9_0_5">#REF!+1</definedName>
    <definedName name="__shared_9_0_6">#REF!+1</definedName>
    <definedName name="__shared_9_0_7">#REF!+1</definedName>
    <definedName name="__shared_9_0_8">#REF!+1</definedName>
    <definedName name="__shared_9_0_9">#REF!+1</definedName>
    <definedName name="MatlsData">MATERIALS!$C$7:$Q$107</definedName>
    <definedName name="PreDefWindowNames">'Templ-Win'!$B$7:$C$214</definedName>
    <definedName name="PreDefWindows">'Templ-Win'!$B$7:$V$214</definedName>
    <definedName name="Print_Area_1">CONSTRUCTIONS!$A$2:$AE$56</definedName>
    <definedName name="Print_Area_4">'WIN LAYERS'!$A$2:$W$88</definedName>
    <definedName name="Print_Titles_1">CONSTRUCTIONS!$2:$6</definedName>
    <definedName name="Print_Titles_2">MATERIALS!$2:$6</definedName>
    <definedName name="Print_Titles_3">WINDOWS!$A:$H,WINDOWS!$2:$7</definedName>
    <definedName name="TemplWinData">'Templ-Win'!$B$7:$V$215</definedName>
    <definedName name="WindowMatNames">'WIN LAYERS'!$B$7:$C$88</definedName>
    <definedName name="WinLayersData">'WIN LAYERS'!$B$7:$G$88</definedName>
  </definedNames>
  <calcPr calcId="145621" iterateDelta="1E-4"/>
</workbook>
</file>

<file path=xl/calcChain.xml><?xml version="1.0" encoding="utf-8"?>
<calcChain xmlns="http://schemas.openxmlformats.org/spreadsheetml/2006/main">
  <c r="B27" i="4" l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C408" i="15"/>
  <c r="H372" i="15"/>
  <c r="G372" i="15"/>
  <c r="F372" i="15"/>
  <c r="D372" i="15"/>
  <c r="H371" i="15"/>
  <c r="G371" i="15"/>
  <c r="F371" i="15"/>
  <c r="D371" i="15"/>
  <c r="H370" i="15"/>
  <c r="G370" i="15"/>
  <c r="F370" i="15"/>
  <c r="D370" i="15"/>
  <c r="H369" i="15"/>
  <c r="G369" i="15"/>
  <c r="F369" i="15"/>
  <c r="D369" i="15"/>
  <c r="H368" i="15"/>
  <c r="G368" i="15"/>
  <c r="F368" i="15"/>
  <c r="D368" i="15"/>
  <c r="H367" i="15"/>
  <c r="G367" i="15"/>
  <c r="F367" i="15"/>
  <c r="D367" i="15"/>
  <c r="H366" i="15"/>
  <c r="G366" i="15"/>
  <c r="F366" i="15"/>
  <c r="D366" i="15"/>
  <c r="H365" i="15"/>
  <c r="G365" i="15"/>
  <c r="F365" i="15"/>
  <c r="D365" i="15"/>
  <c r="H364" i="15"/>
  <c r="G364" i="15"/>
  <c r="F364" i="15"/>
  <c r="D364" i="15"/>
  <c r="H363" i="15"/>
  <c r="G363" i="15"/>
  <c r="F363" i="15"/>
  <c r="D363" i="15"/>
  <c r="H362" i="15"/>
  <c r="G362" i="15"/>
  <c r="F362" i="15"/>
  <c r="D362" i="15"/>
  <c r="H361" i="15"/>
  <c r="G361" i="15"/>
  <c r="F361" i="15"/>
  <c r="D361" i="15"/>
  <c r="H360" i="15"/>
  <c r="G360" i="15"/>
  <c r="F360" i="15"/>
  <c r="D360" i="15"/>
  <c r="H359" i="15"/>
  <c r="G359" i="15"/>
  <c r="F359" i="15"/>
  <c r="D359" i="15"/>
  <c r="H358" i="15"/>
  <c r="G358" i="15"/>
  <c r="F358" i="15"/>
  <c r="D358" i="15"/>
  <c r="H357" i="15"/>
  <c r="G357" i="15"/>
  <c r="F357" i="15"/>
  <c r="D357" i="15"/>
  <c r="H356" i="15"/>
  <c r="G356" i="15"/>
  <c r="F356" i="15"/>
  <c r="D356" i="15"/>
  <c r="H355" i="15"/>
  <c r="G355" i="15"/>
  <c r="F355" i="15"/>
  <c r="D355" i="15"/>
  <c r="H354" i="15"/>
  <c r="G354" i="15"/>
  <c r="F354" i="15"/>
  <c r="D354" i="15"/>
  <c r="H353" i="15"/>
  <c r="G353" i="15"/>
  <c r="F353" i="15"/>
  <c r="D353" i="15"/>
  <c r="H352" i="15"/>
  <c r="G352" i="15"/>
  <c r="F352" i="15"/>
  <c r="D352" i="15"/>
  <c r="H351" i="15"/>
  <c r="G351" i="15"/>
  <c r="F351" i="15"/>
  <c r="D351" i="15"/>
  <c r="H350" i="15"/>
  <c r="G350" i="15"/>
  <c r="F350" i="15"/>
  <c r="D350" i="15"/>
  <c r="H349" i="15"/>
  <c r="G349" i="15"/>
  <c r="F349" i="15"/>
  <c r="D349" i="15"/>
  <c r="H348" i="15"/>
  <c r="G348" i="15"/>
  <c r="F348" i="15"/>
  <c r="D348" i="15"/>
  <c r="H347" i="15"/>
  <c r="G347" i="15"/>
  <c r="F347" i="15"/>
  <c r="D347" i="15"/>
  <c r="H346" i="15"/>
  <c r="G346" i="15"/>
  <c r="F346" i="15"/>
  <c r="D346" i="15"/>
  <c r="H345" i="15"/>
  <c r="G345" i="15"/>
  <c r="F345" i="15"/>
  <c r="D345" i="15"/>
  <c r="H344" i="15"/>
  <c r="G344" i="15"/>
  <c r="F344" i="15"/>
  <c r="D344" i="15"/>
  <c r="H343" i="15"/>
  <c r="G343" i="15"/>
  <c r="F343" i="15"/>
  <c r="D343" i="15"/>
  <c r="C343" i="15"/>
  <c r="H342" i="15"/>
  <c r="G342" i="15"/>
  <c r="F342" i="15"/>
  <c r="D342" i="15"/>
  <c r="C342" i="15"/>
  <c r="H341" i="15"/>
  <c r="G341" i="15"/>
  <c r="F341" i="15"/>
  <c r="D341" i="15"/>
  <c r="C341" i="15"/>
  <c r="H340" i="15"/>
  <c r="G340" i="15"/>
  <c r="F340" i="15"/>
  <c r="D340" i="15"/>
  <c r="C340" i="15"/>
  <c r="H339" i="15"/>
  <c r="G339" i="15"/>
  <c r="F339" i="15"/>
  <c r="D339" i="15"/>
  <c r="C339" i="15"/>
  <c r="H338" i="15"/>
  <c r="G338" i="15"/>
  <c r="F338" i="15"/>
  <c r="D338" i="15"/>
  <c r="C338" i="15"/>
  <c r="H337" i="15"/>
  <c r="G337" i="15"/>
  <c r="F337" i="15"/>
  <c r="D337" i="15"/>
  <c r="C337" i="15"/>
  <c r="H336" i="15"/>
  <c r="G336" i="15"/>
  <c r="F336" i="15"/>
  <c r="D336" i="15"/>
  <c r="C336" i="15"/>
  <c r="H335" i="15"/>
  <c r="G335" i="15"/>
  <c r="F335" i="15"/>
  <c r="D335" i="15"/>
  <c r="C335" i="15"/>
  <c r="H334" i="15"/>
  <c r="G334" i="15"/>
  <c r="F334" i="15"/>
  <c r="D334" i="15"/>
  <c r="C334" i="15"/>
  <c r="H333" i="15"/>
  <c r="G333" i="15"/>
  <c r="F333" i="15"/>
  <c r="D333" i="15"/>
  <c r="C333" i="15"/>
  <c r="H332" i="15"/>
  <c r="G332" i="15"/>
  <c r="F332" i="15"/>
  <c r="D332" i="15"/>
  <c r="C332" i="15"/>
  <c r="H331" i="15"/>
  <c r="G331" i="15"/>
  <c r="F331" i="15"/>
  <c r="D331" i="15"/>
  <c r="C331" i="15"/>
  <c r="H330" i="15"/>
  <c r="G330" i="15"/>
  <c r="F330" i="15"/>
  <c r="D330" i="15"/>
  <c r="C330" i="15"/>
  <c r="H329" i="15"/>
  <c r="G329" i="15"/>
  <c r="F329" i="15"/>
  <c r="D329" i="15"/>
  <c r="C329" i="15"/>
  <c r="H328" i="15"/>
  <c r="G328" i="15"/>
  <c r="F328" i="15"/>
  <c r="D328" i="15"/>
  <c r="C328" i="15"/>
  <c r="H327" i="15"/>
  <c r="G327" i="15"/>
  <c r="F327" i="15"/>
  <c r="D327" i="15"/>
  <c r="C327" i="15"/>
  <c r="H326" i="15"/>
  <c r="G326" i="15"/>
  <c r="F326" i="15"/>
  <c r="D326" i="15"/>
  <c r="C326" i="15"/>
  <c r="H325" i="15"/>
  <c r="G325" i="15"/>
  <c r="F325" i="15"/>
  <c r="D325" i="15"/>
  <c r="C325" i="15"/>
  <c r="H324" i="15"/>
  <c r="G324" i="15"/>
  <c r="F324" i="15"/>
  <c r="D324" i="15"/>
  <c r="C324" i="15"/>
  <c r="H323" i="15"/>
  <c r="G323" i="15"/>
  <c r="F323" i="15"/>
  <c r="D323" i="15"/>
  <c r="C323" i="15"/>
  <c r="H322" i="15"/>
  <c r="G322" i="15"/>
  <c r="F322" i="15"/>
  <c r="D322" i="15"/>
  <c r="C322" i="15"/>
  <c r="H321" i="15"/>
  <c r="G321" i="15"/>
  <c r="F321" i="15"/>
  <c r="D321" i="15"/>
  <c r="C321" i="15"/>
  <c r="H320" i="15"/>
  <c r="G320" i="15"/>
  <c r="F320" i="15"/>
  <c r="D320" i="15"/>
  <c r="C320" i="15"/>
  <c r="H319" i="15"/>
  <c r="G319" i="15"/>
  <c r="F319" i="15"/>
  <c r="D319" i="15"/>
  <c r="C319" i="15"/>
  <c r="H318" i="15"/>
  <c r="G318" i="15"/>
  <c r="F318" i="15"/>
  <c r="D318" i="15"/>
  <c r="C318" i="15"/>
  <c r="H317" i="15"/>
  <c r="G317" i="15"/>
  <c r="F317" i="15"/>
  <c r="D317" i="15"/>
  <c r="C317" i="15"/>
  <c r="H316" i="15"/>
  <c r="G316" i="15"/>
  <c r="F316" i="15"/>
  <c r="D316" i="15"/>
  <c r="C316" i="15"/>
  <c r="H315" i="15"/>
  <c r="G315" i="15"/>
  <c r="F315" i="15"/>
  <c r="D315" i="15"/>
  <c r="C315" i="15"/>
  <c r="H314" i="15"/>
  <c r="G314" i="15"/>
  <c r="F314" i="15"/>
  <c r="D314" i="15"/>
  <c r="C314" i="15"/>
  <c r="H313" i="15"/>
  <c r="G313" i="15"/>
  <c r="F313" i="15"/>
  <c r="D313" i="15"/>
  <c r="C313" i="15"/>
  <c r="H312" i="15"/>
  <c r="G312" i="15"/>
  <c r="F312" i="15"/>
  <c r="D312" i="15"/>
  <c r="C312" i="15"/>
  <c r="H311" i="15"/>
  <c r="G311" i="15"/>
  <c r="F311" i="15"/>
  <c r="D311" i="15"/>
  <c r="C311" i="15"/>
  <c r="H310" i="15"/>
  <c r="G310" i="15"/>
  <c r="F310" i="15"/>
  <c r="D310" i="15"/>
  <c r="C310" i="15"/>
  <c r="H309" i="15"/>
  <c r="G309" i="15"/>
  <c r="F309" i="15"/>
  <c r="D309" i="15"/>
  <c r="H308" i="15"/>
  <c r="G308" i="15"/>
  <c r="D308" i="15"/>
  <c r="H307" i="15"/>
  <c r="F307" i="15" s="1"/>
  <c r="G307" i="15"/>
  <c r="D307" i="15"/>
  <c r="H306" i="15"/>
  <c r="G306" i="15"/>
  <c r="F306" i="15" s="1"/>
  <c r="D306" i="15"/>
  <c r="H305" i="15"/>
  <c r="G305" i="15"/>
  <c r="F305" i="15"/>
  <c r="D305" i="15"/>
  <c r="H304" i="15"/>
  <c r="F304" i="15" s="1"/>
  <c r="G304" i="15"/>
  <c r="D304" i="15"/>
  <c r="H303" i="15"/>
  <c r="F303" i="15" s="1"/>
  <c r="G303" i="15"/>
  <c r="D303" i="15"/>
  <c r="H302" i="15"/>
  <c r="G302" i="15"/>
  <c r="F302" i="15" s="1"/>
  <c r="D302" i="15"/>
  <c r="H301" i="15"/>
  <c r="G301" i="15"/>
  <c r="F301" i="15"/>
  <c r="D301" i="15"/>
  <c r="H300" i="15"/>
  <c r="G300" i="15"/>
  <c r="D300" i="15"/>
  <c r="H299" i="15"/>
  <c r="F299" i="15" s="1"/>
  <c r="G299" i="15"/>
  <c r="D299" i="15"/>
  <c r="H298" i="15"/>
  <c r="G298" i="15"/>
  <c r="F298" i="15" s="1"/>
  <c r="D298" i="15"/>
  <c r="H297" i="15"/>
  <c r="G297" i="15"/>
  <c r="F297" i="15"/>
  <c r="D297" i="15"/>
  <c r="H296" i="15"/>
  <c r="F296" i="15" s="1"/>
  <c r="G296" i="15"/>
  <c r="D296" i="15"/>
  <c r="H295" i="15"/>
  <c r="F295" i="15" s="1"/>
  <c r="G295" i="15"/>
  <c r="D295" i="15"/>
  <c r="H294" i="15"/>
  <c r="G294" i="15"/>
  <c r="F294" i="15" s="1"/>
  <c r="D294" i="15"/>
  <c r="H293" i="15"/>
  <c r="G293" i="15"/>
  <c r="F293" i="15"/>
  <c r="D293" i="15"/>
  <c r="H292" i="15"/>
  <c r="G292" i="15"/>
  <c r="D292" i="15"/>
  <c r="H291" i="15"/>
  <c r="F291" i="15" s="1"/>
  <c r="G291" i="15"/>
  <c r="D291" i="15"/>
  <c r="H290" i="15"/>
  <c r="G290" i="15"/>
  <c r="F290" i="15" s="1"/>
  <c r="D290" i="15"/>
  <c r="H289" i="15"/>
  <c r="G289" i="15"/>
  <c r="F289" i="15"/>
  <c r="D289" i="15"/>
  <c r="H288" i="15"/>
  <c r="F288" i="15" s="1"/>
  <c r="G288" i="15"/>
  <c r="D288" i="15"/>
  <c r="H287" i="15"/>
  <c r="F287" i="15" s="1"/>
  <c r="G287" i="15"/>
  <c r="D287" i="15"/>
  <c r="H286" i="15"/>
  <c r="G286" i="15"/>
  <c r="F286" i="15" s="1"/>
  <c r="D286" i="15"/>
  <c r="H285" i="15"/>
  <c r="G285" i="15"/>
  <c r="F285" i="15"/>
  <c r="D285" i="15"/>
  <c r="H284" i="15"/>
  <c r="G284" i="15"/>
  <c r="D284" i="15"/>
  <c r="H283" i="15"/>
  <c r="F283" i="15" s="1"/>
  <c r="G283" i="15"/>
  <c r="D283" i="15"/>
  <c r="H282" i="15"/>
  <c r="G282" i="15"/>
  <c r="F282" i="15"/>
  <c r="D282" i="15"/>
  <c r="H281" i="15"/>
  <c r="G281" i="15"/>
  <c r="F281" i="15"/>
  <c r="D281" i="15"/>
  <c r="H280" i="15"/>
  <c r="F280" i="15" s="1"/>
  <c r="G280" i="15"/>
  <c r="D280" i="15"/>
  <c r="H279" i="15"/>
  <c r="F279" i="15" s="1"/>
  <c r="G279" i="15"/>
  <c r="D279" i="15"/>
  <c r="N278" i="15"/>
  <c r="M278" i="15"/>
  <c r="L278" i="15"/>
  <c r="K278" i="15"/>
  <c r="J278" i="15"/>
  <c r="I278" i="15"/>
  <c r="H278" i="15"/>
  <c r="G278" i="15"/>
  <c r="D278" i="15"/>
  <c r="N277" i="15"/>
  <c r="M277" i="15"/>
  <c r="L277" i="15"/>
  <c r="K277" i="15"/>
  <c r="J277" i="15"/>
  <c r="I277" i="15"/>
  <c r="H277" i="15"/>
  <c r="G277" i="15"/>
  <c r="F277" i="15"/>
  <c r="D277" i="15"/>
  <c r="N276" i="15"/>
  <c r="M276" i="15"/>
  <c r="L276" i="15"/>
  <c r="K276" i="15"/>
  <c r="J276" i="15"/>
  <c r="I276" i="15"/>
  <c r="H276" i="15"/>
  <c r="G276" i="15"/>
  <c r="F276" i="15" s="1"/>
  <c r="D276" i="15"/>
  <c r="N275" i="15"/>
  <c r="M275" i="15"/>
  <c r="L275" i="15"/>
  <c r="K275" i="15"/>
  <c r="J275" i="15"/>
  <c r="I275" i="15"/>
  <c r="H275" i="15"/>
  <c r="F275" i="15" s="1"/>
  <c r="G275" i="15"/>
  <c r="D275" i="15"/>
  <c r="N274" i="15"/>
  <c r="M274" i="15"/>
  <c r="L274" i="15"/>
  <c r="K274" i="15"/>
  <c r="J274" i="15"/>
  <c r="I274" i="15"/>
  <c r="H274" i="15"/>
  <c r="F274" i="15" s="1"/>
  <c r="G274" i="15"/>
  <c r="D274" i="15"/>
  <c r="N273" i="15"/>
  <c r="M273" i="15"/>
  <c r="L273" i="15"/>
  <c r="K273" i="15"/>
  <c r="J273" i="15"/>
  <c r="I273" i="15"/>
  <c r="H273" i="15"/>
  <c r="G273" i="15"/>
  <c r="F273" i="15"/>
  <c r="D273" i="15"/>
  <c r="N272" i="15"/>
  <c r="M272" i="15"/>
  <c r="L272" i="15"/>
  <c r="K272" i="15"/>
  <c r="J272" i="15"/>
  <c r="I272" i="15"/>
  <c r="H272" i="15"/>
  <c r="G272" i="15"/>
  <c r="F272" i="15"/>
  <c r="D272" i="15"/>
  <c r="N271" i="15"/>
  <c r="M271" i="15"/>
  <c r="L271" i="15"/>
  <c r="K271" i="15"/>
  <c r="J271" i="15"/>
  <c r="I271" i="15"/>
  <c r="H271" i="15"/>
  <c r="F271" i="15" s="1"/>
  <c r="G271" i="15"/>
  <c r="D271" i="15"/>
  <c r="N270" i="15"/>
  <c r="M270" i="15"/>
  <c r="L270" i="15"/>
  <c r="K270" i="15"/>
  <c r="J270" i="15"/>
  <c r="I270" i="15"/>
  <c r="H270" i="15"/>
  <c r="F270" i="15" s="1"/>
  <c r="G270" i="15"/>
  <c r="D270" i="15"/>
  <c r="N269" i="15"/>
  <c r="M269" i="15"/>
  <c r="L269" i="15"/>
  <c r="K269" i="15"/>
  <c r="J269" i="15"/>
  <c r="I269" i="15"/>
  <c r="H269" i="15"/>
  <c r="G269" i="15"/>
  <c r="F269" i="15"/>
  <c r="D269" i="15"/>
  <c r="N268" i="15"/>
  <c r="M268" i="15"/>
  <c r="L268" i="15"/>
  <c r="K268" i="15"/>
  <c r="J268" i="15"/>
  <c r="I268" i="15"/>
  <c r="H268" i="15"/>
  <c r="G268" i="15"/>
  <c r="F268" i="15" s="1"/>
  <c r="D268" i="15"/>
  <c r="N267" i="15"/>
  <c r="M267" i="15"/>
  <c r="L267" i="15"/>
  <c r="K267" i="15"/>
  <c r="J267" i="15"/>
  <c r="I267" i="15"/>
  <c r="H267" i="15"/>
  <c r="F267" i="15" s="1"/>
  <c r="G267" i="15"/>
  <c r="D267" i="15"/>
  <c r="N266" i="15"/>
  <c r="M266" i="15"/>
  <c r="L266" i="15"/>
  <c r="K266" i="15"/>
  <c r="J266" i="15"/>
  <c r="I266" i="15"/>
  <c r="H266" i="15"/>
  <c r="F266" i="15" s="1"/>
  <c r="G266" i="15"/>
  <c r="D266" i="15"/>
  <c r="N265" i="15"/>
  <c r="M265" i="15"/>
  <c r="L265" i="15"/>
  <c r="K265" i="15"/>
  <c r="J265" i="15"/>
  <c r="I265" i="15"/>
  <c r="H265" i="15"/>
  <c r="G265" i="15"/>
  <c r="F265" i="15"/>
  <c r="D265" i="15"/>
  <c r="N264" i="15"/>
  <c r="M264" i="15"/>
  <c r="L264" i="15"/>
  <c r="K264" i="15"/>
  <c r="J264" i="15"/>
  <c r="I264" i="15"/>
  <c r="H264" i="15"/>
  <c r="G264" i="15"/>
  <c r="F264" i="15"/>
  <c r="D264" i="15"/>
  <c r="N263" i="15"/>
  <c r="M263" i="15"/>
  <c r="L263" i="15"/>
  <c r="K263" i="15"/>
  <c r="J263" i="15"/>
  <c r="I263" i="15"/>
  <c r="H263" i="15"/>
  <c r="F263" i="15" s="1"/>
  <c r="G263" i="15"/>
  <c r="D263" i="15"/>
  <c r="N262" i="15"/>
  <c r="M262" i="15"/>
  <c r="L262" i="15"/>
  <c r="K262" i="15"/>
  <c r="J262" i="15"/>
  <c r="I262" i="15"/>
  <c r="H262" i="15"/>
  <c r="F262" i="15" s="1"/>
  <c r="G262" i="15"/>
  <c r="D262" i="15"/>
  <c r="N261" i="15"/>
  <c r="M261" i="15"/>
  <c r="L261" i="15"/>
  <c r="K261" i="15"/>
  <c r="J261" i="15"/>
  <c r="I261" i="15"/>
  <c r="H261" i="15"/>
  <c r="G261" i="15"/>
  <c r="F261" i="15"/>
  <c r="D261" i="15"/>
  <c r="N260" i="15"/>
  <c r="M260" i="15"/>
  <c r="L260" i="15"/>
  <c r="K260" i="15"/>
  <c r="J260" i="15"/>
  <c r="I260" i="15"/>
  <c r="H260" i="15"/>
  <c r="G260" i="15"/>
  <c r="F260" i="15" s="1"/>
  <c r="D260" i="15"/>
  <c r="N259" i="15"/>
  <c r="M259" i="15"/>
  <c r="L259" i="15"/>
  <c r="K259" i="15"/>
  <c r="J259" i="15"/>
  <c r="I259" i="15"/>
  <c r="H259" i="15"/>
  <c r="F259" i="15" s="1"/>
  <c r="G259" i="15"/>
  <c r="D259" i="15"/>
  <c r="N258" i="15"/>
  <c r="M258" i="15"/>
  <c r="L258" i="15"/>
  <c r="K258" i="15"/>
  <c r="J258" i="15"/>
  <c r="I258" i="15"/>
  <c r="H258" i="15"/>
  <c r="G258" i="15"/>
  <c r="D258" i="15"/>
  <c r="N257" i="15"/>
  <c r="M257" i="15"/>
  <c r="L257" i="15"/>
  <c r="K257" i="15"/>
  <c r="J257" i="15"/>
  <c r="I257" i="15"/>
  <c r="H257" i="15"/>
  <c r="G257" i="15"/>
  <c r="F257" i="15"/>
  <c r="D257" i="15"/>
  <c r="N256" i="15"/>
  <c r="M256" i="15"/>
  <c r="L256" i="15"/>
  <c r="K256" i="15"/>
  <c r="J256" i="15"/>
  <c r="I256" i="15"/>
  <c r="H256" i="15"/>
  <c r="G256" i="15"/>
  <c r="F256" i="15" s="1"/>
  <c r="D256" i="15"/>
  <c r="N255" i="15"/>
  <c r="M255" i="15"/>
  <c r="L255" i="15"/>
  <c r="K255" i="15"/>
  <c r="J255" i="15"/>
  <c r="I255" i="15"/>
  <c r="H255" i="15"/>
  <c r="F255" i="15" s="1"/>
  <c r="G255" i="15"/>
  <c r="D255" i="15"/>
  <c r="N254" i="15"/>
  <c r="M254" i="15"/>
  <c r="L254" i="15"/>
  <c r="K254" i="15"/>
  <c r="J254" i="15"/>
  <c r="I254" i="15"/>
  <c r="H254" i="15"/>
  <c r="F254" i="15" s="1"/>
  <c r="G254" i="15"/>
  <c r="D254" i="15"/>
  <c r="N253" i="15"/>
  <c r="M253" i="15"/>
  <c r="L253" i="15"/>
  <c r="K253" i="15"/>
  <c r="J253" i="15"/>
  <c r="I253" i="15"/>
  <c r="H253" i="15"/>
  <c r="G253" i="15"/>
  <c r="F253" i="15"/>
  <c r="D253" i="15"/>
  <c r="N252" i="15"/>
  <c r="M252" i="15"/>
  <c r="L252" i="15"/>
  <c r="K252" i="15"/>
  <c r="J252" i="15"/>
  <c r="I252" i="15"/>
  <c r="H252" i="15"/>
  <c r="G252" i="15"/>
  <c r="F252" i="15" s="1"/>
  <c r="D252" i="15"/>
  <c r="N251" i="15"/>
  <c r="M251" i="15"/>
  <c r="L251" i="15"/>
  <c r="K251" i="15"/>
  <c r="J251" i="15"/>
  <c r="I251" i="15"/>
  <c r="H251" i="15"/>
  <c r="F251" i="15" s="1"/>
  <c r="G251" i="15"/>
  <c r="D251" i="15"/>
  <c r="N250" i="15"/>
  <c r="M250" i="15"/>
  <c r="L250" i="15"/>
  <c r="K250" i="15"/>
  <c r="J250" i="15"/>
  <c r="I250" i="15"/>
  <c r="H250" i="15"/>
  <c r="G250" i="15"/>
  <c r="D250" i="15"/>
  <c r="N249" i="15"/>
  <c r="M249" i="15"/>
  <c r="L249" i="15"/>
  <c r="K249" i="15"/>
  <c r="J249" i="15"/>
  <c r="I249" i="15"/>
  <c r="H249" i="15"/>
  <c r="G249" i="15"/>
  <c r="F249" i="15"/>
  <c r="D249" i="15"/>
  <c r="N248" i="15"/>
  <c r="M248" i="15"/>
  <c r="L248" i="15"/>
  <c r="K248" i="15"/>
  <c r="J248" i="15"/>
  <c r="I248" i="15"/>
  <c r="H248" i="15"/>
  <c r="G248" i="15"/>
  <c r="F248" i="15" s="1"/>
  <c r="D248" i="15"/>
  <c r="N247" i="15"/>
  <c r="M247" i="15"/>
  <c r="L247" i="15"/>
  <c r="K247" i="15"/>
  <c r="J247" i="15"/>
  <c r="I247" i="15"/>
  <c r="H247" i="15"/>
  <c r="F247" i="15" s="1"/>
  <c r="G247" i="15"/>
  <c r="D247" i="15"/>
  <c r="N246" i="15"/>
  <c r="M246" i="15"/>
  <c r="L246" i="15"/>
  <c r="K246" i="15"/>
  <c r="J246" i="15"/>
  <c r="I246" i="15"/>
  <c r="H246" i="15"/>
  <c r="F246" i="15" s="1"/>
  <c r="G246" i="15"/>
  <c r="D246" i="15"/>
  <c r="N245" i="15"/>
  <c r="M245" i="15"/>
  <c r="L245" i="15"/>
  <c r="K245" i="15"/>
  <c r="J245" i="15"/>
  <c r="I245" i="15"/>
  <c r="H245" i="15"/>
  <c r="G245" i="15"/>
  <c r="F245" i="15"/>
  <c r="D245" i="15"/>
  <c r="N244" i="15"/>
  <c r="M244" i="15"/>
  <c r="L244" i="15"/>
  <c r="K244" i="15"/>
  <c r="J244" i="15"/>
  <c r="I244" i="15"/>
  <c r="H244" i="15"/>
  <c r="G244" i="15"/>
  <c r="F244" i="15" s="1"/>
  <c r="D244" i="15"/>
  <c r="N243" i="15"/>
  <c r="M243" i="15"/>
  <c r="L243" i="15"/>
  <c r="K243" i="15"/>
  <c r="J243" i="15"/>
  <c r="I243" i="15"/>
  <c r="H243" i="15"/>
  <c r="F243" i="15" s="1"/>
  <c r="G243" i="15"/>
  <c r="D243" i="15"/>
  <c r="N242" i="15"/>
  <c r="M242" i="15"/>
  <c r="L242" i="15"/>
  <c r="K242" i="15"/>
  <c r="J242" i="15"/>
  <c r="I242" i="15"/>
  <c r="H242" i="15"/>
  <c r="G242" i="15"/>
  <c r="D242" i="15"/>
  <c r="N241" i="15"/>
  <c r="M241" i="15"/>
  <c r="L241" i="15"/>
  <c r="K241" i="15"/>
  <c r="J241" i="15"/>
  <c r="I241" i="15"/>
  <c r="H241" i="15"/>
  <c r="G241" i="15"/>
  <c r="F241" i="15"/>
  <c r="D241" i="15"/>
  <c r="N240" i="15"/>
  <c r="M240" i="15"/>
  <c r="L240" i="15"/>
  <c r="K240" i="15"/>
  <c r="J240" i="15"/>
  <c r="I240" i="15"/>
  <c r="H240" i="15"/>
  <c r="G240" i="15"/>
  <c r="F240" i="15" s="1"/>
  <c r="D240" i="15"/>
  <c r="N239" i="15"/>
  <c r="M239" i="15"/>
  <c r="L239" i="15"/>
  <c r="K239" i="15"/>
  <c r="J239" i="15"/>
  <c r="I239" i="15"/>
  <c r="H239" i="15"/>
  <c r="F239" i="15" s="1"/>
  <c r="G239" i="15"/>
  <c r="D239" i="15"/>
  <c r="N238" i="15"/>
  <c r="M238" i="15"/>
  <c r="L238" i="15"/>
  <c r="K238" i="15"/>
  <c r="J238" i="15"/>
  <c r="I238" i="15"/>
  <c r="H238" i="15"/>
  <c r="F238" i="15" s="1"/>
  <c r="G238" i="15"/>
  <c r="D238" i="15"/>
  <c r="N237" i="15"/>
  <c r="M237" i="15"/>
  <c r="L237" i="15"/>
  <c r="K237" i="15"/>
  <c r="J237" i="15"/>
  <c r="I237" i="15"/>
  <c r="H237" i="15"/>
  <c r="G237" i="15"/>
  <c r="F237" i="15"/>
  <c r="D237" i="15"/>
  <c r="N236" i="15"/>
  <c r="M236" i="15"/>
  <c r="L236" i="15"/>
  <c r="K236" i="15"/>
  <c r="J236" i="15"/>
  <c r="I236" i="15"/>
  <c r="H236" i="15"/>
  <c r="G236" i="15"/>
  <c r="F236" i="15"/>
  <c r="D236" i="15"/>
  <c r="N235" i="15"/>
  <c r="M235" i="15"/>
  <c r="L235" i="15"/>
  <c r="K235" i="15"/>
  <c r="J235" i="15"/>
  <c r="I235" i="15"/>
  <c r="H235" i="15"/>
  <c r="F235" i="15" s="1"/>
  <c r="G235" i="15"/>
  <c r="D235" i="15"/>
  <c r="N234" i="15"/>
  <c r="M234" i="15"/>
  <c r="L234" i="15"/>
  <c r="K234" i="15"/>
  <c r="J234" i="15"/>
  <c r="I234" i="15"/>
  <c r="H234" i="15"/>
  <c r="F234" i="15" s="1"/>
  <c r="G234" i="15"/>
  <c r="D234" i="15"/>
  <c r="N233" i="15"/>
  <c r="M233" i="15"/>
  <c r="L233" i="15"/>
  <c r="K233" i="15"/>
  <c r="J233" i="15"/>
  <c r="I233" i="15"/>
  <c r="H233" i="15"/>
  <c r="G233" i="15"/>
  <c r="F233" i="15"/>
  <c r="D233" i="15"/>
  <c r="N232" i="15"/>
  <c r="M232" i="15"/>
  <c r="L232" i="15"/>
  <c r="K232" i="15"/>
  <c r="J232" i="15"/>
  <c r="I232" i="15"/>
  <c r="H232" i="15"/>
  <c r="G232" i="15"/>
  <c r="F232" i="15"/>
  <c r="D232" i="15"/>
  <c r="N231" i="15"/>
  <c r="M231" i="15"/>
  <c r="L231" i="15"/>
  <c r="K231" i="15"/>
  <c r="J231" i="15"/>
  <c r="I231" i="15"/>
  <c r="H231" i="15"/>
  <c r="F231" i="15" s="1"/>
  <c r="G231" i="15"/>
  <c r="D231" i="15"/>
  <c r="N230" i="15"/>
  <c r="M230" i="15"/>
  <c r="L230" i="15"/>
  <c r="K230" i="15"/>
  <c r="J230" i="15"/>
  <c r="I230" i="15"/>
  <c r="H230" i="15"/>
  <c r="G230" i="15"/>
  <c r="D230" i="15"/>
  <c r="N229" i="15"/>
  <c r="M229" i="15"/>
  <c r="L229" i="15"/>
  <c r="K229" i="15"/>
  <c r="J229" i="15"/>
  <c r="I229" i="15"/>
  <c r="H229" i="15"/>
  <c r="G229" i="15"/>
  <c r="F229" i="15"/>
  <c r="D229" i="15"/>
  <c r="N228" i="15"/>
  <c r="M228" i="15"/>
  <c r="L228" i="15"/>
  <c r="K228" i="15"/>
  <c r="J228" i="15"/>
  <c r="I228" i="15"/>
  <c r="H228" i="15"/>
  <c r="G228" i="15"/>
  <c r="F228" i="15"/>
  <c r="D228" i="15"/>
  <c r="N227" i="15"/>
  <c r="M227" i="15"/>
  <c r="L227" i="15"/>
  <c r="K227" i="15"/>
  <c r="J227" i="15"/>
  <c r="I227" i="15"/>
  <c r="H227" i="15"/>
  <c r="F227" i="15" s="1"/>
  <c r="G227" i="15"/>
  <c r="D227" i="15"/>
  <c r="N226" i="15"/>
  <c r="M226" i="15"/>
  <c r="L226" i="15"/>
  <c r="K226" i="15"/>
  <c r="J226" i="15"/>
  <c r="I226" i="15"/>
  <c r="H226" i="15"/>
  <c r="F226" i="15" s="1"/>
  <c r="G226" i="15"/>
  <c r="D226" i="15"/>
  <c r="N225" i="15"/>
  <c r="M225" i="15"/>
  <c r="L225" i="15"/>
  <c r="K225" i="15"/>
  <c r="J225" i="15"/>
  <c r="I225" i="15"/>
  <c r="H225" i="15"/>
  <c r="G225" i="15"/>
  <c r="F225" i="15"/>
  <c r="D225" i="15"/>
  <c r="N224" i="15"/>
  <c r="M224" i="15"/>
  <c r="L224" i="15"/>
  <c r="K224" i="15"/>
  <c r="J224" i="15"/>
  <c r="I224" i="15"/>
  <c r="H224" i="15"/>
  <c r="G224" i="15"/>
  <c r="F224" i="15"/>
  <c r="D224" i="15"/>
  <c r="N223" i="15"/>
  <c r="M223" i="15"/>
  <c r="L223" i="15"/>
  <c r="K223" i="15"/>
  <c r="J223" i="15"/>
  <c r="I223" i="15"/>
  <c r="H223" i="15"/>
  <c r="F223" i="15" s="1"/>
  <c r="G223" i="15"/>
  <c r="D223" i="15"/>
  <c r="N222" i="15"/>
  <c r="M222" i="15"/>
  <c r="L222" i="15"/>
  <c r="K222" i="15"/>
  <c r="J222" i="15"/>
  <c r="I222" i="15"/>
  <c r="H222" i="15"/>
  <c r="G222" i="15"/>
  <c r="D222" i="15"/>
  <c r="N221" i="15"/>
  <c r="M221" i="15"/>
  <c r="L221" i="15"/>
  <c r="K221" i="15"/>
  <c r="J221" i="15"/>
  <c r="I221" i="15"/>
  <c r="H221" i="15"/>
  <c r="G221" i="15"/>
  <c r="F221" i="15"/>
  <c r="D221" i="15"/>
  <c r="N220" i="15"/>
  <c r="M220" i="15"/>
  <c r="L220" i="15"/>
  <c r="K220" i="15"/>
  <c r="J220" i="15"/>
  <c r="I220" i="15"/>
  <c r="H220" i="15"/>
  <c r="G220" i="15"/>
  <c r="F220" i="15"/>
  <c r="D220" i="15"/>
  <c r="N219" i="15"/>
  <c r="M219" i="15"/>
  <c r="L219" i="15"/>
  <c r="K219" i="15"/>
  <c r="J219" i="15"/>
  <c r="I219" i="15"/>
  <c r="H219" i="15"/>
  <c r="F219" i="15" s="1"/>
  <c r="G219" i="15"/>
  <c r="D219" i="15"/>
  <c r="N218" i="15"/>
  <c r="M218" i="15"/>
  <c r="L218" i="15"/>
  <c r="K218" i="15"/>
  <c r="J218" i="15"/>
  <c r="I218" i="15"/>
  <c r="H218" i="15"/>
  <c r="F218" i="15" s="1"/>
  <c r="G218" i="15"/>
  <c r="D218" i="15"/>
  <c r="N217" i="15"/>
  <c r="M217" i="15"/>
  <c r="L217" i="15"/>
  <c r="K217" i="15"/>
  <c r="J217" i="15"/>
  <c r="I217" i="15"/>
  <c r="H217" i="15"/>
  <c r="G217" i="15"/>
  <c r="F217" i="15"/>
  <c r="D217" i="15"/>
  <c r="N216" i="15"/>
  <c r="M216" i="15"/>
  <c r="L216" i="15"/>
  <c r="K216" i="15"/>
  <c r="J216" i="15"/>
  <c r="I216" i="15"/>
  <c r="H216" i="15"/>
  <c r="G216" i="15"/>
  <c r="F216" i="15"/>
  <c r="D216" i="15"/>
  <c r="N215" i="15"/>
  <c r="M215" i="15"/>
  <c r="L215" i="15"/>
  <c r="K215" i="15"/>
  <c r="J215" i="15"/>
  <c r="I215" i="15"/>
  <c r="H215" i="15"/>
  <c r="F215" i="15" s="1"/>
  <c r="G215" i="15"/>
  <c r="D215" i="15"/>
  <c r="N214" i="15"/>
  <c r="M214" i="15"/>
  <c r="L214" i="15"/>
  <c r="K214" i="15"/>
  <c r="J214" i="15"/>
  <c r="I214" i="15"/>
  <c r="H214" i="15"/>
  <c r="G214" i="15"/>
  <c r="D214" i="15"/>
  <c r="N213" i="15"/>
  <c r="M213" i="15"/>
  <c r="L213" i="15"/>
  <c r="K213" i="15"/>
  <c r="J213" i="15"/>
  <c r="I213" i="15"/>
  <c r="H213" i="15"/>
  <c r="G213" i="15"/>
  <c r="F213" i="15"/>
  <c r="D213" i="15"/>
  <c r="N212" i="15"/>
  <c r="M212" i="15"/>
  <c r="L212" i="15"/>
  <c r="K212" i="15"/>
  <c r="J212" i="15"/>
  <c r="I212" i="15"/>
  <c r="H212" i="15"/>
  <c r="G212" i="15"/>
  <c r="F212" i="15"/>
  <c r="D212" i="15"/>
  <c r="N211" i="15"/>
  <c r="M211" i="15"/>
  <c r="L211" i="15"/>
  <c r="K211" i="15"/>
  <c r="J211" i="15"/>
  <c r="I211" i="15"/>
  <c r="H211" i="15"/>
  <c r="F211" i="15" s="1"/>
  <c r="G211" i="15"/>
  <c r="D211" i="15"/>
  <c r="N210" i="15"/>
  <c r="M210" i="15"/>
  <c r="L210" i="15"/>
  <c r="K210" i="15"/>
  <c r="J210" i="15"/>
  <c r="I210" i="15"/>
  <c r="H210" i="15"/>
  <c r="F210" i="15" s="1"/>
  <c r="G210" i="15"/>
  <c r="D210" i="15"/>
  <c r="N209" i="15"/>
  <c r="M209" i="15"/>
  <c r="L209" i="15"/>
  <c r="K209" i="15"/>
  <c r="J209" i="15"/>
  <c r="I209" i="15"/>
  <c r="H209" i="15"/>
  <c r="G209" i="15"/>
  <c r="F209" i="15"/>
  <c r="D209" i="15"/>
  <c r="N208" i="15"/>
  <c r="M208" i="15"/>
  <c r="L208" i="15"/>
  <c r="K208" i="15"/>
  <c r="J208" i="15"/>
  <c r="I208" i="15"/>
  <c r="H208" i="15"/>
  <c r="G208" i="15"/>
  <c r="F208" i="15"/>
  <c r="D208" i="15"/>
  <c r="N207" i="15"/>
  <c r="M207" i="15"/>
  <c r="L207" i="15"/>
  <c r="K207" i="15"/>
  <c r="J207" i="15"/>
  <c r="I207" i="15"/>
  <c r="H207" i="15"/>
  <c r="F207" i="15" s="1"/>
  <c r="G207" i="15"/>
  <c r="D207" i="15"/>
  <c r="N206" i="15"/>
  <c r="M206" i="15"/>
  <c r="L206" i="15"/>
  <c r="K206" i="15"/>
  <c r="J206" i="15"/>
  <c r="I206" i="15"/>
  <c r="H206" i="15"/>
  <c r="G206" i="15"/>
  <c r="D206" i="15"/>
  <c r="N205" i="15"/>
  <c r="M205" i="15"/>
  <c r="L205" i="15"/>
  <c r="K205" i="15"/>
  <c r="J205" i="15"/>
  <c r="I205" i="15"/>
  <c r="H205" i="15"/>
  <c r="G205" i="15"/>
  <c r="F205" i="15"/>
  <c r="D205" i="15"/>
  <c r="N204" i="15"/>
  <c r="M204" i="15"/>
  <c r="L204" i="15"/>
  <c r="K204" i="15"/>
  <c r="J204" i="15"/>
  <c r="I204" i="15"/>
  <c r="H204" i="15"/>
  <c r="G204" i="15"/>
  <c r="F204" i="15"/>
  <c r="D204" i="15"/>
  <c r="N203" i="15"/>
  <c r="M203" i="15"/>
  <c r="L203" i="15"/>
  <c r="K203" i="15"/>
  <c r="J203" i="15"/>
  <c r="I203" i="15"/>
  <c r="H203" i="15"/>
  <c r="F203" i="15" s="1"/>
  <c r="G203" i="15"/>
  <c r="D203" i="15"/>
  <c r="N202" i="15"/>
  <c r="M202" i="15"/>
  <c r="L202" i="15"/>
  <c r="K202" i="15"/>
  <c r="J202" i="15"/>
  <c r="I202" i="15"/>
  <c r="H202" i="15"/>
  <c r="F202" i="15" s="1"/>
  <c r="G202" i="15"/>
  <c r="D202" i="15"/>
  <c r="N201" i="15"/>
  <c r="M201" i="15"/>
  <c r="L201" i="15"/>
  <c r="K201" i="15"/>
  <c r="J201" i="15"/>
  <c r="I201" i="15"/>
  <c r="H201" i="15"/>
  <c r="G201" i="15"/>
  <c r="F201" i="15"/>
  <c r="D201" i="15"/>
  <c r="N200" i="15"/>
  <c r="M200" i="15"/>
  <c r="L200" i="15"/>
  <c r="K200" i="15"/>
  <c r="J200" i="15"/>
  <c r="I200" i="15"/>
  <c r="H200" i="15"/>
  <c r="G200" i="15"/>
  <c r="F200" i="15"/>
  <c r="D200" i="15"/>
  <c r="N199" i="15"/>
  <c r="M199" i="15"/>
  <c r="L199" i="15"/>
  <c r="K199" i="15"/>
  <c r="J199" i="15"/>
  <c r="I199" i="15"/>
  <c r="H199" i="15"/>
  <c r="F199" i="15" s="1"/>
  <c r="G199" i="15"/>
  <c r="D199" i="15"/>
  <c r="N198" i="15"/>
  <c r="M198" i="15"/>
  <c r="L198" i="15"/>
  <c r="K198" i="15"/>
  <c r="J198" i="15"/>
  <c r="I198" i="15"/>
  <c r="H198" i="15"/>
  <c r="G198" i="15"/>
  <c r="D198" i="15"/>
  <c r="N197" i="15"/>
  <c r="M197" i="15"/>
  <c r="L197" i="15"/>
  <c r="K197" i="15"/>
  <c r="J197" i="15"/>
  <c r="I197" i="15"/>
  <c r="H197" i="15"/>
  <c r="G197" i="15"/>
  <c r="F197" i="15" s="1"/>
  <c r="D197" i="15"/>
  <c r="N196" i="15"/>
  <c r="M196" i="15"/>
  <c r="L196" i="15"/>
  <c r="K196" i="15"/>
  <c r="J196" i="15"/>
  <c r="I196" i="15"/>
  <c r="H196" i="15"/>
  <c r="G196" i="15"/>
  <c r="F196" i="15"/>
  <c r="D196" i="15"/>
  <c r="N195" i="15"/>
  <c r="M195" i="15"/>
  <c r="L195" i="15"/>
  <c r="K195" i="15"/>
  <c r="J195" i="15"/>
  <c r="I195" i="15"/>
  <c r="H195" i="15"/>
  <c r="G195" i="15"/>
  <c r="F195" i="15"/>
  <c r="D195" i="15"/>
  <c r="N194" i="15"/>
  <c r="M194" i="15"/>
  <c r="L194" i="15"/>
  <c r="K194" i="15"/>
  <c r="J194" i="15"/>
  <c r="I194" i="15"/>
  <c r="H194" i="15"/>
  <c r="G194" i="15"/>
  <c r="D194" i="15"/>
  <c r="N193" i="15"/>
  <c r="M193" i="15"/>
  <c r="L193" i="15"/>
  <c r="K193" i="15"/>
  <c r="J193" i="15"/>
  <c r="I193" i="15"/>
  <c r="H193" i="15"/>
  <c r="G193" i="15"/>
  <c r="D193" i="15"/>
  <c r="N192" i="15"/>
  <c r="M192" i="15"/>
  <c r="L192" i="15"/>
  <c r="K192" i="15"/>
  <c r="J192" i="15"/>
  <c r="I192" i="15"/>
  <c r="H192" i="15"/>
  <c r="G192" i="15"/>
  <c r="F192" i="15"/>
  <c r="D192" i="15"/>
  <c r="N191" i="15"/>
  <c r="M191" i="15"/>
  <c r="L191" i="15"/>
  <c r="K191" i="15"/>
  <c r="J191" i="15"/>
  <c r="I191" i="15"/>
  <c r="H191" i="15"/>
  <c r="F191" i="15" s="1"/>
  <c r="G191" i="15"/>
  <c r="D191" i="15"/>
  <c r="N190" i="15"/>
  <c r="M190" i="15"/>
  <c r="L190" i="15"/>
  <c r="K190" i="15"/>
  <c r="J190" i="15"/>
  <c r="I190" i="15"/>
  <c r="H190" i="15"/>
  <c r="G190" i="15"/>
  <c r="D190" i="15"/>
  <c r="N189" i="15"/>
  <c r="M189" i="15"/>
  <c r="L189" i="15"/>
  <c r="K189" i="15"/>
  <c r="J189" i="15"/>
  <c r="I189" i="15"/>
  <c r="H189" i="15"/>
  <c r="G189" i="15"/>
  <c r="F189" i="15" s="1"/>
  <c r="D189" i="15"/>
  <c r="N188" i="15"/>
  <c r="M188" i="15"/>
  <c r="L188" i="15"/>
  <c r="K188" i="15"/>
  <c r="J188" i="15"/>
  <c r="I188" i="15"/>
  <c r="H188" i="15"/>
  <c r="G188" i="15"/>
  <c r="F188" i="15"/>
  <c r="D188" i="15"/>
  <c r="N187" i="15"/>
  <c r="M187" i="15"/>
  <c r="L187" i="15"/>
  <c r="K187" i="15"/>
  <c r="J187" i="15"/>
  <c r="I187" i="15"/>
  <c r="H187" i="15"/>
  <c r="G187" i="15"/>
  <c r="F187" i="15"/>
  <c r="D187" i="15"/>
  <c r="N186" i="15"/>
  <c r="M186" i="15"/>
  <c r="L186" i="15"/>
  <c r="K186" i="15"/>
  <c r="J186" i="15"/>
  <c r="I186" i="15"/>
  <c r="H186" i="15"/>
  <c r="G186" i="15"/>
  <c r="D186" i="15"/>
  <c r="N185" i="15"/>
  <c r="M185" i="15"/>
  <c r="L185" i="15"/>
  <c r="K185" i="15"/>
  <c r="J185" i="15"/>
  <c r="I185" i="15"/>
  <c r="H185" i="15"/>
  <c r="F185" i="15" s="1"/>
  <c r="G185" i="15"/>
  <c r="D185" i="15"/>
  <c r="N184" i="15"/>
  <c r="M184" i="15"/>
  <c r="L184" i="15"/>
  <c r="K184" i="15"/>
  <c r="J184" i="15"/>
  <c r="I184" i="15"/>
  <c r="H184" i="15"/>
  <c r="G184" i="15"/>
  <c r="F184" i="15"/>
  <c r="D184" i="15"/>
  <c r="N183" i="15"/>
  <c r="M183" i="15"/>
  <c r="L183" i="15"/>
  <c r="K183" i="15"/>
  <c r="J183" i="15"/>
  <c r="I183" i="15"/>
  <c r="H183" i="15"/>
  <c r="F183" i="15" s="1"/>
  <c r="G183" i="15"/>
  <c r="D183" i="15"/>
  <c r="N182" i="15"/>
  <c r="M182" i="15"/>
  <c r="L182" i="15"/>
  <c r="K182" i="15"/>
  <c r="J182" i="15"/>
  <c r="I182" i="15"/>
  <c r="H182" i="15"/>
  <c r="G182" i="15"/>
  <c r="D182" i="15"/>
  <c r="N181" i="15"/>
  <c r="M181" i="15"/>
  <c r="L181" i="15"/>
  <c r="K181" i="15"/>
  <c r="J181" i="15"/>
  <c r="I181" i="15"/>
  <c r="H181" i="15"/>
  <c r="G181" i="15"/>
  <c r="F181" i="15" s="1"/>
  <c r="D181" i="15"/>
  <c r="N180" i="15"/>
  <c r="M180" i="15"/>
  <c r="L180" i="15"/>
  <c r="K180" i="15"/>
  <c r="J180" i="15"/>
  <c r="I180" i="15"/>
  <c r="H180" i="15"/>
  <c r="G180" i="15"/>
  <c r="F180" i="15"/>
  <c r="D180" i="15"/>
  <c r="N179" i="15"/>
  <c r="M179" i="15"/>
  <c r="L179" i="15"/>
  <c r="K179" i="15"/>
  <c r="J179" i="15"/>
  <c r="I179" i="15"/>
  <c r="H179" i="15"/>
  <c r="G179" i="15"/>
  <c r="F179" i="15"/>
  <c r="D179" i="15"/>
  <c r="H178" i="15"/>
  <c r="G178" i="15"/>
  <c r="F178" i="15" s="1"/>
  <c r="D178" i="15"/>
  <c r="H177" i="15"/>
  <c r="F177" i="15" s="1"/>
  <c r="G177" i="15"/>
  <c r="D177" i="15"/>
  <c r="H176" i="15"/>
  <c r="F176" i="15" s="1"/>
  <c r="G176" i="15"/>
  <c r="D176" i="15"/>
  <c r="H175" i="15"/>
  <c r="F175" i="15" s="1"/>
  <c r="G175" i="15"/>
  <c r="D175" i="15"/>
  <c r="H174" i="15"/>
  <c r="G174" i="15"/>
  <c r="F174" i="15" s="1"/>
  <c r="D174" i="15"/>
  <c r="H173" i="15"/>
  <c r="G173" i="15"/>
  <c r="F173" i="15" s="1"/>
  <c r="D173" i="15"/>
  <c r="H172" i="15"/>
  <c r="F172" i="15" s="1"/>
  <c r="G172" i="15"/>
  <c r="D172" i="15"/>
  <c r="H171" i="15"/>
  <c r="G171" i="15"/>
  <c r="F171" i="15"/>
  <c r="D171" i="15"/>
  <c r="H170" i="15"/>
  <c r="G170" i="15"/>
  <c r="F170" i="15" s="1"/>
  <c r="D170" i="15"/>
  <c r="H169" i="15"/>
  <c r="G169" i="15"/>
  <c r="D169" i="15"/>
  <c r="H168" i="15"/>
  <c r="F168" i="15" s="1"/>
  <c r="G168" i="15"/>
  <c r="D168" i="15"/>
  <c r="H167" i="15"/>
  <c r="F167" i="15" s="1"/>
  <c r="G167" i="15"/>
  <c r="D167" i="15"/>
  <c r="H166" i="15"/>
  <c r="G166" i="15"/>
  <c r="F166" i="15" s="1"/>
  <c r="D166" i="15"/>
  <c r="H165" i="15"/>
  <c r="G165" i="15"/>
  <c r="F165" i="15" s="1"/>
  <c r="D165" i="15"/>
  <c r="H164" i="15"/>
  <c r="F164" i="15" s="1"/>
  <c r="G164" i="15"/>
  <c r="D164" i="15"/>
  <c r="H163" i="15"/>
  <c r="G163" i="15"/>
  <c r="F163" i="15"/>
  <c r="D163" i="15"/>
  <c r="H162" i="15"/>
  <c r="G162" i="15"/>
  <c r="F162" i="15" s="1"/>
  <c r="D162" i="15"/>
  <c r="H161" i="15"/>
  <c r="F161" i="15" s="1"/>
  <c r="G161" i="15"/>
  <c r="D161" i="15"/>
  <c r="H160" i="15"/>
  <c r="F160" i="15" s="1"/>
  <c r="G160" i="15"/>
  <c r="D160" i="15"/>
  <c r="H159" i="15"/>
  <c r="F159" i="15" s="1"/>
  <c r="G159" i="15"/>
  <c r="D159" i="15"/>
  <c r="H158" i="15"/>
  <c r="G158" i="15"/>
  <c r="F158" i="15" s="1"/>
  <c r="D158" i="15"/>
  <c r="H157" i="15"/>
  <c r="G157" i="15"/>
  <c r="F157" i="15" s="1"/>
  <c r="D157" i="15"/>
  <c r="H156" i="15"/>
  <c r="F156" i="15" s="1"/>
  <c r="G156" i="15"/>
  <c r="D156" i="15"/>
  <c r="H155" i="15"/>
  <c r="G155" i="15"/>
  <c r="F155" i="15"/>
  <c r="D155" i="15"/>
  <c r="H154" i="15"/>
  <c r="G154" i="15"/>
  <c r="F154" i="15" s="1"/>
  <c r="D154" i="15"/>
  <c r="H153" i="15"/>
  <c r="G153" i="15"/>
  <c r="D153" i="15"/>
  <c r="H152" i="15"/>
  <c r="F152" i="15" s="1"/>
  <c r="G152" i="15"/>
  <c r="D152" i="15"/>
  <c r="H151" i="15"/>
  <c r="G151" i="15"/>
  <c r="F151" i="15" s="1"/>
  <c r="D151" i="15"/>
  <c r="H150" i="15"/>
  <c r="G150" i="15"/>
  <c r="F150" i="15"/>
  <c r="D150" i="15"/>
  <c r="C150" i="15"/>
  <c r="H149" i="15"/>
  <c r="F149" i="15" s="1"/>
  <c r="G149" i="15"/>
  <c r="D149" i="15"/>
  <c r="C149" i="15"/>
  <c r="E149" i="15" s="1"/>
  <c r="H148" i="15"/>
  <c r="G148" i="15"/>
  <c r="F148" i="15" s="1"/>
  <c r="E148" i="15"/>
  <c r="D148" i="15"/>
  <c r="C148" i="15"/>
  <c r="H147" i="15"/>
  <c r="G147" i="15"/>
  <c r="D147" i="15"/>
  <c r="C147" i="15"/>
  <c r="E147" i="15" s="1"/>
  <c r="H146" i="15"/>
  <c r="G146" i="15"/>
  <c r="F146" i="15" s="1"/>
  <c r="E146" i="15"/>
  <c r="D146" i="15"/>
  <c r="H145" i="15"/>
  <c r="G145" i="15"/>
  <c r="F145" i="15"/>
  <c r="D145" i="15"/>
  <c r="C145" i="15"/>
  <c r="E145" i="15" s="1"/>
  <c r="H144" i="15"/>
  <c r="F144" i="15" s="1"/>
  <c r="G144" i="15"/>
  <c r="E144" i="15"/>
  <c r="D144" i="15"/>
  <c r="C144" i="15"/>
  <c r="H143" i="15"/>
  <c r="G143" i="15"/>
  <c r="F143" i="15"/>
  <c r="D143" i="15"/>
  <c r="C143" i="15"/>
  <c r="E143" i="15" s="1"/>
  <c r="H142" i="15"/>
  <c r="F142" i="15" s="1"/>
  <c r="G142" i="15"/>
  <c r="E142" i="15"/>
  <c r="D142" i="15"/>
  <c r="C142" i="15"/>
  <c r="H141" i="15"/>
  <c r="G141" i="15"/>
  <c r="F141" i="15"/>
  <c r="D141" i="15"/>
  <c r="C141" i="15"/>
  <c r="E141" i="15" s="1"/>
  <c r="H140" i="15"/>
  <c r="F140" i="15" s="1"/>
  <c r="G140" i="15"/>
  <c r="E140" i="15"/>
  <c r="D140" i="15"/>
  <c r="C140" i="15"/>
  <c r="H139" i="15"/>
  <c r="G139" i="15"/>
  <c r="F139" i="15"/>
  <c r="D139" i="15"/>
  <c r="C139" i="15"/>
  <c r="E139" i="15" s="1"/>
  <c r="H138" i="15"/>
  <c r="F138" i="15" s="1"/>
  <c r="G138" i="15"/>
  <c r="E138" i="15"/>
  <c r="D138" i="15"/>
  <c r="C138" i="15"/>
  <c r="H137" i="15"/>
  <c r="G137" i="15"/>
  <c r="F137" i="15"/>
  <c r="D137" i="15"/>
  <c r="C137" i="15"/>
  <c r="E137" i="15" s="1"/>
  <c r="H136" i="15"/>
  <c r="F136" i="15" s="1"/>
  <c r="G136" i="15"/>
  <c r="E136" i="15"/>
  <c r="D136" i="15"/>
  <c r="C136" i="15"/>
  <c r="H135" i="15"/>
  <c r="G135" i="15"/>
  <c r="F135" i="15"/>
  <c r="D135" i="15"/>
  <c r="C135" i="15"/>
  <c r="E135" i="15" s="1"/>
  <c r="H134" i="15"/>
  <c r="F134" i="15" s="1"/>
  <c r="G134" i="15"/>
  <c r="E134" i="15"/>
  <c r="D134" i="15"/>
  <c r="C134" i="15"/>
  <c r="H133" i="15"/>
  <c r="G133" i="15"/>
  <c r="F133" i="15"/>
  <c r="D133" i="15"/>
  <c r="C133" i="15"/>
  <c r="E133" i="15" s="1"/>
  <c r="H132" i="15"/>
  <c r="F132" i="15" s="1"/>
  <c r="G132" i="15"/>
  <c r="E132" i="15"/>
  <c r="D132" i="15"/>
  <c r="C132" i="15"/>
  <c r="H131" i="15"/>
  <c r="G131" i="15"/>
  <c r="F131" i="15"/>
  <c r="D131" i="15"/>
  <c r="C131" i="15"/>
  <c r="E131" i="15" s="1"/>
  <c r="Z130" i="15"/>
  <c r="Y130" i="15"/>
  <c r="X130" i="15"/>
  <c r="H130" i="15"/>
  <c r="G130" i="15"/>
  <c r="F130" i="15" s="1"/>
  <c r="E130" i="15"/>
  <c r="D130" i="15"/>
  <c r="C130" i="15"/>
  <c r="Z129" i="15"/>
  <c r="Y129" i="15"/>
  <c r="X129" i="15"/>
  <c r="H129" i="15"/>
  <c r="F129" i="15" s="1"/>
  <c r="G129" i="15"/>
  <c r="E129" i="15"/>
  <c r="D129" i="15"/>
  <c r="C129" i="15"/>
  <c r="Z128" i="15"/>
  <c r="Y128" i="15"/>
  <c r="X128" i="15"/>
  <c r="H128" i="15"/>
  <c r="F128" i="15" s="1"/>
  <c r="G128" i="15"/>
  <c r="D128" i="15"/>
  <c r="C128" i="15"/>
  <c r="E128" i="15" s="1"/>
  <c r="Z127" i="15"/>
  <c r="Y127" i="15"/>
  <c r="X127" i="15"/>
  <c r="H127" i="15"/>
  <c r="G127" i="15"/>
  <c r="F127" i="15"/>
  <c r="D127" i="15"/>
  <c r="C127" i="15"/>
  <c r="E127" i="15" s="1"/>
  <c r="Z126" i="15"/>
  <c r="Y126" i="15"/>
  <c r="X126" i="15"/>
  <c r="H126" i="15"/>
  <c r="G126" i="15"/>
  <c r="F126" i="15"/>
  <c r="E126" i="15"/>
  <c r="D126" i="15"/>
  <c r="C126" i="15"/>
  <c r="Z125" i="15"/>
  <c r="Y125" i="15"/>
  <c r="X125" i="15"/>
  <c r="H125" i="15"/>
  <c r="F125" i="15" s="1"/>
  <c r="G125" i="15"/>
  <c r="E125" i="15"/>
  <c r="D125" i="15"/>
  <c r="C125" i="15"/>
  <c r="Z124" i="15"/>
  <c r="Y124" i="15"/>
  <c r="X124" i="15"/>
  <c r="H124" i="15"/>
  <c r="G124" i="15"/>
  <c r="D124" i="15"/>
  <c r="C124" i="15"/>
  <c r="E124" i="15" s="1"/>
  <c r="Z123" i="15"/>
  <c r="Y123" i="15"/>
  <c r="X123" i="15"/>
  <c r="H123" i="15"/>
  <c r="G123" i="15"/>
  <c r="F123" i="15"/>
  <c r="D123" i="15"/>
  <c r="C123" i="15"/>
  <c r="E123" i="15" s="1"/>
  <c r="Z122" i="15"/>
  <c r="Y122" i="15"/>
  <c r="X122" i="15"/>
  <c r="H122" i="15"/>
  <c r="G122" i="15"/>
  <c r="F122" i="15"/>
  <c r="E122" i="15"/>
  <c r="D122" i="15"/>
  <c r="C122" i="15"/>
  <c r="Z121" i="15"/>
  <c r="Y121" i="15"/>
  <c r="X121" i="15"/>
  <c r="H121" i="15"/>
  <c r="F121" i="15" s="1"/>
  <c r="G121" i="15"/>
  <c r="E121" i="15"/>
  <c r="D121" i="15"/>
  <c r="C121" i="15"/>
  <c r="Z120" i="15"/>
  <c r="Y120" i="15"/>
  <c r="X120" i="15"/>
  <c r="H120" i="15"/>
  <c r="F120" i="15" s="1"/>
  <c r="G120" i="15"/>
  <c r="D120" i="15"/>
  <c r="C120" i="15"/>
  <c r="E120" i="15" s="1"/>
  <c r="Z119" i="15"/>
  <c r="Y119" i="15"/>
  <c r="X119" i="15"/>
  <c r="H119" i="15"/>
  <c r="G119" i="15"/>
  <c r="F119" i="15"/>
  <c r="D119" i="15"/>
  <c r="C119" i="15"/>
  <c r="E119" i="15" s="1"/>
  <c r="Z118" i="15"/>
  <c r="Y118" i="15"/>
  <c r="X118" i="15"/>
  <c r="H118" i="15"/>
  <c r="G118" i="15"/>
  <c r="F118" i="15"/>
  <c r="E118" i="15"/>
  <c r="D118" i="15"/>
  <c r="C118" i="15"/>
  <c r="Z117" i="15"/>
  <c r="Y117" i="15"/>
  <c r="X117" i="15"/>
  <c r="H117" i="15"/>
  <c r="F117" i="15" s="1"/>
  <c r="G117" i="15"/>
  <c r="E117" i="15"/>
  <c r="D117" i="15"/>
  <c r="C117" i="15"/>
  <c r="Z116" i="15"/>
  <c r="Y116" i="15"/>
  <c r="X116" i="15"/>
  <c r="H116" i="15"/>
  <c r="G116" i="15"/>
  <c r="D116" i="15"/>
  <c r="C116" i="15"/>
  <c r="E116" i="15" s="1"/>
  <c r="Z115" i="15"/>
  <c r="Y115" i="15"/>
  <c r="X115" i="15"/>
  <c r="H115" i="15"/>
  <c r="G115" i="15"/>
  <c r="F115" i="15"/>
  <c r="D115" i="15"/>
  <c r="C115" i="15"/>
  <c r="E115" i="15" s="1"/>
  <c r="Z114" i="15"/>
  <c r="Y114" i="15"/>
  <c r="X114" i="15"/>
  <c r="H114" i="15"/>
  <c r="G114" i="15"/>
  <c r="F114" i="15"/>
  <c r="E114" i="15"/>
  <c r="D114" i="15"/>
  <c r="C114" i="15"/>
  <c r="Z113" i="15"/>
  <c r="Y113" i="15"/>
  <c r="X113" i="15"/>
  <c r="H113" i="15"/>
  <c r="F113" i="15" s="1"/>
  <c r="G113" i="15"/>
  <c r="E113" i="15"/>
  <c r="D113" i="15"/>
  <c r="C113" i="15"/>
  <c r="Z112" i="15"/>
  <c r="Y112" i="15"/>
  <c r="X112" i="15"/>
  <c r="H112" i="15"/>
  <c r="F112" i="15" s="1"/>
  <c r="G112" i="15"/>
  <c r="D112" i="15"/>
  <c r="C112" i="15"/>
  <c r="E112" i="15" s="1"/>
  <c r="Z111" i="15"/>
  <c r="Y111" i="15"/>
  <c r="X111" i="15"/>
  <c r="H111" i="15"/>
  <c r="G111" i="15"/>
  <c r="F111" i="15"/>
  <c r="D111" i="15"/>
  <c r="C111" i="15"/>
  <c r="E111" i="15" s="1"/>
  <c r="Z110" i="15"/>
  <c r="Y110" i="15"/>
  <c r="X110" i="15"/>
  <c r="H110" i="15"/>
  <c r="G110" i="15"/>
  <c r="F110" i="15"/>
  <c r="E110" i="15"/>
  <c r="D110" i="15"/>
  <c r="C110" i="15"/>
  <c r="Z109" i="15"/>
  <c r="Y109" i="15"/>
  <c r="X109" i="15"/>
  <c r="H109" i="15"/>
  <c r="F109" i="15" s="1"/>
  <c r="G109" i="15"/>
  <c r="E109" i="15"/>
  <c r="D109" i="15"/>
  <c r="C109" i="15"/>
  <c r="Z108" i="15"/>
  <c r="Y108" i="15"/>
  <c r="X108" i="15"/>
  <c r="H108" i="15"/>
  <c r="G108" i="15"/>
  <c r="D108" i="15"/>
  <c r="C108" i="15"/>
  <c r="E108" i="15" s="1"/>
  <c r="Z107" i="15"/>
  <c r="Y107" i="15"/>
  <c r="X107" i="15"/>
  <c r="H107" i="15"/>
  <c r="G107" i="15"/>
  <c r="F107" i="15"/>
  <c r="D107" i="15"/>
  <c r="C107" i="15"/>
  <c r="E107" i="15" s="1"/>
  <c r="Z106" i="15"/>
  <c r="Y106" i="15"/>
  <c r="X106" i="15"/>
  <c r="R106" i="15"/>
  <c r="R107" i="15" s="1"/>
  <c r="R108" i="15" s="1"/>
  <c r="R109" i="15" s="1"/>
  <c r="R110" i="15" s="1"/>
  <c r="R111" i="15" s="1"/>
  <c r="R112" i="15" s="1"/>
  <c r="R113" i="15" s="1"/>
  <c r="R114" i="15" s="1"/>
  <c r="R115" i="15" s="1"/>
  <c r="R116" i="15" s="1"/>
  <c r="R117" i="15" s="1"/>
  <c r="R118" i="15" s="1"/>
  <c r="R119" i="15" s="1"/>
  <c r="R120" i="15" s="1"/>
  <c r="R121" i="15" s="1"/>
  <c r="R122" i="15" s="1"/>
  <c r="R123" i="15" s="1"/>
  <c r="R124" i="15" s="1"/>
  <c r="R125" i="15" s="1"/>
  <c r="R126" i="15" s="1"/>
  <c r="R127" i="15" s="1"/>
  <c r="R128" i="15" s="1"/>
  <c r="R129" i="15" s="1"/>
  <c r="R130" i="15" s="1"/>
  <c r="H106" i="15"/>
  <c r="G106" i="15"/>
  <c r="F106" i="15"/>
  <c r="E106" i="15"/>
  <c r="D106" i="15"/>
  <c r="C106" i="15"/>
  <c r="Z105" i="15"/>
  <c r="Y105" i="15"/>
  <c r="X105" i="15"/>
  <c r="R105" i="15"/>
  <c r="H105" i="15"/>
  <c r="F105" i="15" s="1"/>
  <c r="G105" i="15"/>
  <c r="E105" i="15"/>
  <c r="D105" i="15"/>
  <c r="C105" i="15"/>
  <c r="P102" i="15"/>
  <c r="O102" i="15"/>
  <c r="N102" i="15"/>
  <c r="H102" i="15"/>
  <c r="F102" i="15"/>
  <c r="D102" i="15"/>
  <c r="P101" i="15"/>
  <c r="O101" i="15"/>
  <c r="N101" i="15"/>
  <c r="H101" i="15"/>
  <c r="F101" i="15"/>
  <c r="D101" i="15"/>
  <c r="P100" i="15"/>
  <c r="O100" i="15"/>
  <c r="N100" i="15"/>
  <c r="H100" i="15"/>
  <c r="F100" i="15"/>
  <c r="D100" i="15"/>
  <c r="P99" i="15"/>
  <c r="O99" i="15"/>
  <c r="N99" i="15"/>
  <c r="H99" i="15"/>
  <c r="F99" i="15"/>
  <c r="D99" i="15"/>
  <c r="P98" i="15"/>
  <c r="O98" i="15"/>
  <c r="N98" i="15"/>
  <c r="H98" i="15"/>
  <c r="F98" i="15"/>
  <c r="D98" i="15"/>
  <c r="P97" i="15"/>
  <c r="O97" i="15"/>
  <c r="N97" i="15"/>
  <c r="H97" i="15"/>
  <c r="F97" i="15"/>
  <c r="D97" i="15"/>
  <c r="P96" i="15"/>
  <c r="O96" i="15"/>
  <c r="N96" i="15"/>
  <c r="H96" i="15"/>
  <c r="F96" i="15"/>
  <c r="D96" i="15"/>
  <c r="P95" i="15"/>
  <c r="O95" i="15"/>
  <c r="N95" i="15"/>
  <c r="H95" i="15"/>
  <c r="F95" i="15"/>
  <c r="D95" i="15"/>
  <c r="P94" i="15"/>
  <c r="O94" i="15"/>
  <c r="N94" i="15"/>
  <c r="H94" i="15"/>
  <c r="F94" i="15"/>
  <c r="D94" i="15"/>
  <c r="P93" i="15"/>
  <c r="O93" i="15"/>
  <c r="N93" i="15"/>
  <c r="H93" i="15"/>
  <c r="F93" i="15"/>
  <c r="D93" i="15"/>
  <c r="P92" i="15"/>
  <c r="O92" i="15"/>
  <c r="N92" i="15"/>
  <c r="H92" i="15"/>
  <c r="F92" i="15"/>
  <c r="D92" i="15"/>
  <c r="P91" i="15"/>
  <c r="O91" i="15"/>
  <c r="N91" i="15"/>
  <c r="H91" i="15"/>
  <c r="F91" i="15"/>
  <c r="D91" i="15"/>
  <c r="P90" i="15"/>
  <c r="O90" i="15"/>
  <c r="N90" i="15"/>
  <c r="H90" i="15"/>
  <c r="F90" i="15"/>
  <c r="D90" i="15"/>
  <c r="P89" i="15"/>
  <c r="O89" i="15"/>
  <c r="N89" i="15"/>
  <c r="H89" i="15"/>
  <c r="F89" i="15"/>
  <c r="D89" i="15"/>
  <c r="P88" i="15"/>
  <c r="O88" i="15"/>
  <c r="N88" i="15"/>
  <c r="H88" i="15"/>
  <c r="F88" i="15"/>
  <c r="D88" i="15"/>
  <c r="P87" i="15"/>
  <c r="O87" i="15"/>
  <c r="N87" i="15"/>
  <c r="H87" i="15"/>
  <c r="F87" i="15"/>
  <c r="D87" i="15"/>
  <c r="P86" i="15"/>
  <c r="O86" i="15"/>
  <c r="N86" i="15"/>
  <c r="H86" i="15"/>
  <c r="F86" i="15"/>
  <c r="D86" i="15"/>
  <c r="P85" i="15"/>
  <c r="O85" i="15"/>
  <c r="N85" i="15"/>
  <c r="H85" i="15"/>
  <c r="F85" i="15"/>
  <c r="D85" i="15"/>
  <c r="P84" i="15"/>
  <c r="O84" i="15"/>
  <c r="N84" i="15"/>
  <c r="H84" i="15"/>
  <c r="F84" i="15"/>
  <c r="D84" i="15"/>
  <c r="P83" i="15"/>
  <c r="O83" i="15"/>
  <c r="N83" i="15"/>
  <c r="H83" i="15"/>
  <c r="F83" i="15"/>
  <c r="D83" i="15"/>
  <c r="P82" i="15"/>
  <c r="O82" i="15"/>
  <c r="N82" i="15"/>
  <c r="H82" i="15"/>
  <c r="F82" i="15"/>
  <c r="D82" i="15"/>
  <c r="P81" i="15"/>
  <c r="O81" i="15"/>
  <c r="N81" i="15"/>
  <c r="H81" i="15"/>
  <c r="F81" i="15"/>
  <c r="D81" i="15"/>
  <c r="P80" i="15"/>
  <c r="O80" i="15"/>
  <c r="N80" i="15"/>
  <c r="H80" i="15"/>
  <c r="F80" i="15"/>
  <c r="D80" i="15"/>
  <c r="P79" i="15"/>
  <c r="O79" i="15"/>
  <c r="N79" i="15"/>
  <c r="H79" i="15"/>
  <c r="F79" i="15"/>
  <c r="D79" i="15"/>
  <c r="P78" i="15"/>
  <c r="O78" i="15"/>
  <c r="N78" i="15"/>
  <c r="H78" i="15"/>
  <c r="F78" i="15"/>
  <c r="D78" i="15"/>
  <c r="P77" i="15"/>
  <c r="O77" i="15"/>
  <c r="N77" i="15"/>
  <c r="H77" i="15"/>
  <c r="F77" i="15"/>
  <c r="D77" i="15"/>
  <c r="P76" i="15"/>
  <c r="O76" i="15"/>
  <c r="N76" i="15"/>
  <c r="H76" i="15"/>
  <c r="F76" i="15"/>
  <c r="D76" i="15"/>
  <c r="P75" i="15"/>
  <c r="O75" i="15"/>
  <c r="N75" i="15"/>
  <c r="H75" i="15"/>
  <c r="F75" i="15"/>
  <c r="D75" i="15"/>
  <c r="P74" i="15"/>
  <c r="O74" i="15"/>
  <c r="N74" i="15"/>
  <c r="H74" i="15"/>
  <c r="F74" i="15"/>
  <c r="D74" i="15"/>
  <c r="P73" i="15"/>
  <c r="O73" i="15"/>
  <c r="N73" i="15"/>
  <c r="H73" i="15"/>
  <c r="F73" i="15"/>
  <c r="D73" i="15"/>
  <c r="P72" i="15"/>
  <c r="O72" i="15"/>
  <c r="N72" i="15"/>
  <c r="H72" i="15"/>
  <c r="F72" i="15"/>
  <c r="D72" i="15"/>
  <c r="P71" i="15"/>
  <c r="O71" i="15"/>
  <c r="N71" i="15"/>
  <c r="H71" i="15"/>
  <c r="F71" i="15"/>
  <c r="D71" i="15"/>
  <c r="P70" i="15"/>
  <c r="O70" i="15"/>
  <c r="N70" i="15"/>
  <c r="H70" i="15"/>
  <c r="F70" i="15"/>
  <c r="D70" i="15"/>
  <c r="P69" i="15"/>
  <c r="O69" i="15"/>
  <c r="N69" i="15"/>
  <c r="H69" i="15"/>
  <c r="F69" i="15"/>
  <c r="D69" i="15"/>
  <c r="P68" i="15"/>
  <c r="O68" i="15"/>
  <c r="N68" i="15"/>
  <c r="H68" i="15"/>
  <c r="F68" i="15"/>
  <c r="D68" i="15"/>
  <c r="P67" i="15"/>
  <c r="O67" i="15"/>
  <c r="N67" i="15"/>
  <c r="H67" i="15"/>
  <c r="F67" i="15"/>
  <c r="D67" i="15"/>
  <c r="P66" i="15"/>
  <c r="O66" i="15"/>
  <c r="N66" i="15"/>
  <c r="H66" i="15"/>
  <c r="F66" i="15"/>
  <c r="D66" i="15"/>
  <c r="P65" i="15"/>
  <c r="O65" i="15"/>
  <c r="N65" i="15"/>
  <c r="H65" i="15"/>
  <c r="F65" i="15"/>
  <c r="D65" i="15"/>
  <c r="P64" i="15"/>
  <c r="O64" i="15"/>
  <c r="N64" i="15"/>
  <c r="H64" i="15"/>
  <c r="F64" i="15"/>
  <c r="D64" i="15"/>
  <c r="P63" i="15"/>
  <c r="O63" i="15"/>
  <c r="N63" i="15"/>
  <c r="H63" i="15"/>
  <c r="F63" i="15"/>
  <c r="D63" i="15"/>
  <c r="P62" i="15"/>
  <c r="O62" i="15"/>
  <c r="N62" i="15"/>
  <c r="H62" i="15"/>
  <c r="F62" i="15"/>
  <c r="D62" i="15"/>
  <c r="P61" i="15"/>
  <c r="O61" i="15"/>
  <c r="N61" i="15"/>
  <c r="H61" i="15"/>
  <c r="F61" i="15"/>
  <c r="D61" i="15"/>
  <c r="P60" i="15"/>
  <c r="O60" i="15"/>
  <c r="N60" i="15"/>
  <c r="H60" i="15"/>
  <c r="F60" i="15"/>
  <c r="D60" i="15"/>
  <c r="P59" i="15"/>
  <c r="O59" i="15"/>
  <c r="N59" i="15"/>
  <c r="H59" i="15"/>
  <c r="F59" i="15"/>
  <c r="D59" i="15"/>
  <c r="P58" i="15"/>
  <c r="O58" i="15"/>
  <c r="N58" i="15"/>
  <c r="H58" i="15"/>
  <c r="F58" i="15"/>
  <c r="D58" i="15"/>
  <c r="P57" i="15"/>
  <c r="O57" i="15"/>
  <c r="N57" i="15"/>
  <c r="H57" i="15"/>
  <c r="F57" i="15"/>
  <c r="D57" i="15"/>
  <c r="P56" i="15"/>
  <c r="O56" i="15"/>
  <c r="N56" i="15"/>
  <c r="H56" i="15"/>
  <c r="F56" i="15"/>
  <c r="D56" i="15"/>
  <c r="P55" i="15"/>
  <c r="O55" i="15"/>
  <c r="N55" i="15"/>
  <c r="H55" i="15"/>
  <c r="F55" i="15"/>
  <c r="D55" i="15"/>
  <c r="P54" i="15"/>
  <c r="O54" i="15"/>
  <c r="N54" i="15"/>
  <c r="H54" i="15"/>
  <c r="F54" i="15"/>
  <c r="D54" i="15"/>
  <c r="P53" i="15"/>
  <c r="O53" i="15"/>
  <c r="N53" i="15"/>
  <c r="H53" i="15"/>
  <c r="F53" i="15"/>
  <c r="D53" i="15"/>
  <c r="P52" i="15"/>
  <c r="O52" i="15"/>
  <c r="N52" i="15"/>
  <c r="H52" i="15"/>
  <c r="F52" i="15"/>
  <c r="D52" i="15"/>
  <c r="P51" i="15"/>
  <c r="O51" i="15"/>
  <c r="N51" i="15"/>
  <c r="H51" i="15"/>
  <c r="F51" i="15"/>
  <c r="D51" i="15"/>
  <c r="P50" i="15"/>
  <c r="O50" i="15"/>
  <c r="N50" i="15"/>
  <c r="H50" i="15"/>
  <c r="F50" i="15"/>
  <c r="D50" i="15"/>
  <c r="P49" i="15"/>
  <c r="O49" i="15"/>
  <c r="N49" i="15"/>
  <c r="H49" i="15"/>
  <c r="F49" i="15"/>
  <c r="D49" i="15"/>
  <c r="P48" i="15"/>
  <c r="O48" i="15"/>
  <c r="N48" i="15"/>
  <c r="H48" i="15"/>
  <c r="F48" i="15"/>
  <c r="D48" i="15"/>
  <c r="P47" i="15"/>
  <c r="O47" i="15"/>
  <c r="N47" i="15"/>
  <c r="H47" i="15"/>
  <c r="F47" i="15"/>
  <c r="D47" i="15"/>
  <c r="P46" i="15"/>
  <c r="O46" i="15"/>
  <c r="N46" i="15"/>
  <c r="H46" i="15"/>
  <c r="F46" i="15"/>
  <c r="D46" i="15"/>
  <c r="P45" i="15"/>
  <c r="O45" i="15"/>
  <c r="N45" i="15"/>
  <c r="H45" i="15"/>
  <c r="F45" i="15"/>
  <c r="D45" i="15"/>
  <c r="P44" i="15"/>
  <c r="O44" i="15"/>
  <c r="N44" i="15"/>
  <c r="H44" i="15"/>
  <c r="F44" i="15"/>
  <c r="D44" i="15"/>
  <c r="P43" i="15"/>
  <c r="O43" i="15"/>
  <c r="N43" i="15"/>
  <c r="H43" i="15"/>
  <c r="F43" i="15"/>
  <c r="D43" i="15"/>
  <c r="P42" i="15"/>
  <c r="O42" i="15"/>
  <c r="N42" i="15"/>
  <c r="H42" i="15"/>
  <c r="F42" i="15"/>
  <c r="D42" i="15"/>
  <c r="P41" i="15"/>
  <c r="O41" i="15"/>
  <c r="N41" i="15"/>
  <c r="H41" i="15"/>
  <c r="F41" i="15"/>
  <c r="D41" i="15"/>
  <c r="P40" i="15"/>
  <c r="O40" i="15"/>
  <c r="N40" i="15"/>
  <c r="H40" i="15"/>
  <c r="F40" i="15"/>
  <c r="D40" i="15"/>
  <c r="P39" i="15"/>
  <c r="O39" i="15"/>
  <c r="N39" i="15"/>
  <c r="H39" i="15"/>
  <c r="F39" i="15"/>
  <c r="D39" i="15"/>
  <c r="P38" i="15"/>
  <c r="O38" i="15"/>
  <c r="N38" i="15"/>
  <c r="H38" i="15"/>
  <c r="F38" i="15"/>
  <c r="D38" i="15"/>
  <c r="P37" i="15"/>
  <c r="O37" i="15"/>
  <c r="N37" i="15"/>
  <c r="H37" i="15"/>
  <c r="F37" i="15"/>
  <c r="D37" i="15"/>
  <c r="P36" i="15"/>
  <c r="O36" i="15"/>
  <c r="N36" i="15"/>
  <c r="H36" i="15"/>
  <c r="F36" i="15"/>
  <c r="D36" i="15"/>
  <c r="P35" i="15"/>
  <c r="O35" i="15"/>
  <c r="N35" i="15"/>
  <c r="H35" i="15"/>
  <c r="F35" i="15"/>
  <c r="D35" i="15"/>
  <c r="P34" i="15"/>
  <c r="O34" i="15"/>
  <c r="N34" i="15"/>
  <c r="H34" i="15"/>
  <c r="F34" i="15"/>
  <c r="D34" i="15"/>
  <c r="P33" i="15"/>
  <c r="O33" i="15"/>
  <c r="N33" i="15"/>
  <c r="H33" i="15"/>
  <c r="F33" i="15"/>
  <c r="D33" i="15"/>
  <c r="P32" i="15"/>
  <c r="O32" i="15"/>
  <c r="N32" i="15"/>
  <c r="H32" i="15"/>
  <c r="F32" i="15"/>
  <c r="D32" i="15"/>
  <c r="P31" i="15"/>
  <c r="O31" i="15"/>
  <c r="N31" i="15"/>
  <c r="H31" i="15"/>
  <c r="F31" i="15"/>
  <c r="D31" i="15"/>
  <c r="P30" i="15"/>
  <c r="O30" i="15"/>
  <c r="N30" i="15"/>
  <c r="H30" i="15"/>
  <c r="F30" i="15"/>
  <c r="D30" i="15"/>
  <c r="P29" i="15"/>
  <c r="O29" i="15"/>
  <c r="N29" i="15"/>
  <c r="H29" i="15"/>
  <c r="F29" i="15"/>
  <c r="D29" i="15"/>
  <c r="P28" i="15"/>
  <c r="O28" i="15"/>
  <c r="N28" i="15"/>
  <c r="H28" i="15"/>
  <c r="F28" i="15"/>
  <c r="D28" i="15"/>
  <c r="P27" i="15"/>
  <c r="O27" i="15"/>
  <c r="N27" i="15"/>
  <c r="H27" i="15"/>
  <c r="F27" i="15"/>
  <c r="D27" i="15"/>
  <c r="Z26" i="15"/>
  <c r="Y26" i="15"/>
  <c r="X26" i="15"/>
  <c r="P26" i="15"/>
  <c r="O26" i="15"/>
  <c r="N26" i="15"/>
  <c r="H26" i="15"/>
  <c r="F26" i="15"/>
  <c r="D26" i="15"/>
  <c r="Z25" i="15"/>
  <c r="Y25" i="15"/>
  <c r="X25" i="15"/>
  <c r="P25" i="15"/>
  <c r="O25" i="15"/>
  <c r="N25" i="15"/>
  <c r="H25" i="15"/>
  <c r="F25" i="15"/>
  <c r="D25" i="15"/>
  <c r="Z24" i="15"/>
  <c r="Y24" i="15"/>
  <c r="X24" i="15"/>
  <c r="P24" i="15"/>
  <c r="O24" i="15"/>
  <c r="N24" i="15"/>
  <c r="H24" i="15"/>
  <c r="F24" i="15"/>
  <c r="D24" i="15"/>
  <c r="Z23" i="15"/>
  <c r="Y23" i="15"/>
  <c r="X23" i="15"/>
  <c r="P23" i="15"/>
  <c r="O23" i="15"/>
  <c r="N23" i="15"/>
  <c r="H23" i="15"/>
  <c r="F23" i="15"/>
  <c r="D23" i="15"/>
  <c r="Z22" i="15"/>
  <c r="Y22" i="15"/>
  <c r="X22" i="15"/>
  <c r="P22" i="15"/>
  <c r="O22" i="15"/>
  <c r="N22" i="15"/>
  <c r="H22" i="15"/>
  <c r="F22" i="15"/>
  <c r="D22" i="15"/>
  <c r="Z21" i="15"/>
  <c r="Y21" i="15"/>
  <c r="X21" i="15"/>
  <c r="P21" i="15"/>
  <c r="O21" i="15"/>
  <c r="N21" i="15"/>
  <c r="H21" i="15"/>
  <c r="F21" i="15"/>
  <c r="D21" i="15"/>
  <c r="Z20" i="15"/>
  <c r="Y20" i="15"/>
  <c r="X20" i="15"/>
  <c r="P20" i="15"/>
  <c r="O20" i="15"/>
  <c r="N20" i="15"/>
  <c r="H20" i="15"/>
  <c r="F20" i="15"/>
  <c r="D20" i="15"/>
  <c r="Z19" i="15"/>
  <c r="Y19" i="15"/>
  <c r="X19" i="15"/>
  <c r="P19" i="15"/>
  <c r="O19" i="15"/>
  <c r="N19" i="15"/>
  <c r="H19" i="15"/>
  <c r="F19" i="15"/>
  <c r="D19" i="15"/>
  <c r="Z18" i="15"/>
  <c r="Y18" i="15"/>
  <c r="X18" i="15"/>
  <c r="P18" i="15"/>
  <c r="O18" i="15"/>
  <c r="N18" i="15"/>
  <c r="H18" i="15"/>
  <c r="F18" i="15"/>
  <c r="D18" i="15"/>
  <c r="Z17" i="15"/>
  <c r="Y17" i="15"/>
  <c r="X17" i="15"/>
  <c r="P17" i="15"/>
  <c r="O17" i="15"/>
  <c r="N17" i="15"/>
  <c r="H17" i="15"/>
  <c r="F17" i="15"/>
  <c r="D17" i="15"/>
  <c r="Z16" i="15"/>
  <c r="Y16" i="15"/>
  <c r="X16" i="15"/>
  <c r="P16" i="15"/>
  <c r="O16" i="15"/>
  <c r="N16" i="15"/>
  <c r="H16" i="15"/>
  <c r="F16" i="15"/>
  <c r="D16" i="15"/>
  <c r="Z15" i="15"/>
  <c r="Y15" i="15"/>
  <c r="X15" i="15"/>
  <c r="P15" i="15"/>
  <c r="O15" i="15"/>
  <c r="N15" i="15"/>
  <c r="H15" i="15"/>
  <c r="F15" i="15"/>
  <c r="D15" i="15"/>
  <c r="Z14" i="15"/>
  <c r="Y14" i="15"/>
  <c r="X14" i="15"/>
  <c r="P14" i="15"/>
  <c r="O14" i="15"/>
  <c r="N14" i="15"/>
  <c r="H14" i="15"/>
  <c r="F14" i="15"/>
  <c r="D14" i="15"/>
  <c r="Z13" i="15"/>
  <c r="Y13" i="15"/>
  <c r="X13" i="15"/>
  <c r="P13" i="15"/>
  <c r="O13" i="15"/>
  <c r="N13" i="15"/>
  <c r="H13" i="15"/>
  <c r="F13" i="15"/>
  <c r="D13" i="15"/>
  <c r="Z12" i="15"/>
  <c r="Y12" i="15"/>
  <c r="X12" i="15"/>
  <c r="P12" i="15"/>
  <c r="O12" i="15"/>
  <c r="N12" i="15"/>
  <c r="H12" i="15"/>
  <c r="F12" i="15"/>
  <c r="D12" i="15"/>
  <c r="Z11" i="15"/>
  <c r="Y11" i="15"/>
  <c r="X11" i="15"/>
  <c r="P11" i="15"/>
  <c r="O11" i="15"/>
  <c r="N11" i="15"/>
  <c r="H11" i="15"/>
  <c r="F11" i="15"/>
  <c r="D11" i="15"/>
  <c r="Z10" i="15"/>
  <c r="Y10" i="15"/>
  <c r="X10" i="15"/>
  <c r="P10" i="15"/>
  <c r="O10" i="15"/>
  <c r="N10" i="15"/>
  <c r="H10" i="15"/>
  <c r="F10" i="15"/>
  <c r="E10" i="15"/>
  <c r="D10" i="15"/>
  <c r="C10" i="15"/>
  <c r="Z9" i="15"/>
  <c r="Y9" i="15"/>
  <c r="X9" i="15"/>
  <c r="P9" i="15"/>
  <c r="O9" i="15"/>
  <c r="N9" i="15"/>
  <c r="H9" i="15"/>
  <c r="F9" i="15"/>
  <c r="D9" i="15"/>
  <c r="C9" i="15"/>
  <c r="E9" i="15" s="1"/>
  <c r="Z8" i="15"/>
  <c r="Y8" i="15"/>
  <c r="X8" i="15"/>
  <c r="P8" i="15"/>
  <c r="O8" i="15"/>
  <c r="N8" i="15"/>
  <c r="H8" i="15"/>
  <c r="F8" i="15"/>
  <c r="D8" i="15"/>
  <c r="C8" i="15"/>
  <c r="E8" i="15" s="1"/>
  <c r="Z7" i="15"/>
  <c r="Y7" i="15"/>
  <c r="X7" i="15"/>
  <c r="R7" i="15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P7" i="15"/>
  <c r="O7" i="15"/>
  <c r="N7" i="15"/>
  <c r="H7" i="15"/>
  <c r="F7" i="15"/>
  <c r="D7" i="15"/>
  <c r="C7" i="15"/>
  <c r="E7" i="15" s="1"/>
  <c r="Z6" i="15"/>
  <c r="Y6" i="15"/>
  <c r="X6" i="15"/>
  <c r="P6" i="15"/>
  <c r="O6" i="15"/>
  <c r="N6" i="15"/>
  <c r="H6" i="15"/>
  <c r="F6" i="15"/>
  <c r="E6" i="15"/>
  <c r="D6" i="15"/>
  <c r="C6" i="15"/>
  <c r="Z5" i="15"/>
  <c r="Y5" i="15"/>
  <c r="X5" i="15"/>
  <c r="P5" i="15"/>
  <c r="O5" i="15"/>
  <c r="N5" i="15"/>
  <c r="H5" i="15"/>
  <c r="F5" i="15"/>
  <c r="E5" i="15"/>
  <c r="D5" i="15"/>
  <c r="C5" i="15"/>
  <c r="Z4" i="15"/>
  <c r="Y4" i="15"/>
  <c r="X4" i="15"/>
  <c r="R4" i="15"/>
  <c r="R5" i="15" s="1"/>
  <c r="R6" i="15" s="1"/>
  <c r="P4" i="15"/>
  <c r="O4" i="15"/>
  <c r="N4" i="15"/>
  <c r="H4" i="15"/>
  <c r="F4" i="15"/>
  <c r="D4" i="15"/>
  <c r="C4" i="15"/>
  <c r="E4" i="15" s="1"/>
  <c r="P3" i="15"/>
  <c r="O3" i="15"/>
  <c r="H3" i="15"/>
  <c r="F3" i="15"/>
  <c r="D3" i="15"/>
  <c r="C3" i="15"/>
  <c r="E3" i="15" s="1"/>
  <c r="E2" i="15"/>
  <c r="D2" i="15"/>
  <c r="C2" i="15"/>
  <c r="B365" i="14"/>
  <c r="A365" i="14"/>
  <c r="B364" i="14"/>
  <c r="A364" i="14"/>
  <c r="B363" i="14"/>
  <c r="A363" i="14"/>
  <c r="B362" i="14"/>
  <c r="A362" i="14"/>
  <c r="B361" i="14"/>
  <c r="A361" i="14"/>
  <c r="B360" i="14"/>
  <c r="A360" i="14"/>
  <c r="B359" i="14"/>
  <c r="A359" i="14"/>
  <c r="B358" i="14"/>
  <c r="A358" i="14"/>
  <c r="B357" i="14"/>
  <c r="A357" i="14"/>
  <c r="B356" i="14"/>
  <c r="A356" i="14"/>
  <c r="B355" i="14"/>
  <c r="A355" i="14"/>
  <c r="B354" i="14"/>
  <c r="B353" i="14"/>
  <c r="B352" i="14"/>
  <c r="B351" i="14"/>
  <c r="A351" i="14"/>
  <c r="B349" i="14"/>
  <c r="A349" i="14"/>
  <c r="B347" i="14"/>
  <c r="A347" i="14"/>
  <c r="B346" i="14"/>
  <c r="A346" i="14"/>
  <c r="B345" i="14"/>
  <c r="A345" i="14"/>
  <c r="B344" i="14"/>
  <c r="A344" i="14"/>
  <c r="B343" i="14"/>
  <c r="A343" i="14"/>
  <c r="B342" i="14"/>
  <c r="A342" i="14"/>
  <c r="B341" i="14"/>
  <c r="A341" i="14"/>
  <c r="B340" i="14"/>
  <c r="A340" i="14"/>
  <c r="B339" i="14"/>
  <c r="A339" i="14"/>
  <c r="B338" i="14"/>
  <c r="A338" i="14"/>
  <c r="B337" i="14"/>
  <c r="A337" i="14"/>
  <c r="B336" i="14"/>
  <c r="B335" i="14"/>
  <c r="B334" i="14"/>
  <c r="A334" i="14"/>
  <c r="B333" i="14"/>
  <c r="A333" i="14"/>
  <c r="B331" i="14"/>
  <c r="A331" i="14"/>
  <c r="B329" i="14"/>
  <c r="A329" i="14"/>
  <c r="B328" i="14"/>
  <c r="A328" i="14"/>
  <c r="B327" i="14"/>
  <c r="A327" i="14"/>
  <c r="B326" i="14"/>
  <c r="A326" i="14"/>
  <c r="B325" i="14"/>
  <c r="A325" i="14"/>
  <c r="B324" i="14"/>
  <c r="A324" i="14"/>
  <c r="B323" i="14"/>
  <c r="A323" i="14"/>
  <c r="B322" i="14"/>
  <c r="A322" i="14"/>
  <c r="B321" i="14"/>
  <c r="A321" i="14"/>
  <c r="B320" i="14"/>
  <c r="A320" i="14"/>
  <c r="B319" i="14"/>
  <c r="A319" i="14"/>
  <c r="B318" i="14"/>
  <c r="B317" i="14"/>
  <c r="B316" i="14"/>
  <c r="B315" i="14"/>
  <c r="A315" i="14"/>
  <c r="B313" i="14"/>
  <c r="A313" i="14"/>
  <c r="B311" i="14"/>
  <c r="A311" i="14"/>
  <c r="B310" i="14"/>
  <c r="A310" i="14"/>
  <c r="B309" i="14"/>
  <c r="A309" i="14"/>
  <c r="B308" i="14"/>
  <c r="A308" i="14"/>
  <c r="B307" i="14"/>
  <c r="A307" i="14"/>
  <c r="B306" i="14"/>
  <c r="A306" i="14"/>
  <c r="B305" i="14"/>
  <c r="A305" i="14"/>
  <c r="B304" i="14"/>
  <c r="A304" i="14"/>
  <c r="B303" i="14"/>
  <c r="A303" i="14"/>
  <c r="B302" i="14"/>
  <c r="A302" i="14"/>
  <c r="B301" i="14"/>
  <c r="A301" i="14"/>
  <c r="B300" i="14"/>
  <c r="B299" i="14"/>
  <c r="B298" i="14"/>
  <c r="B297" i="14"/>
  <c r="A297" i="14"/>
  <c r="B295" i="14"/>
  <c r="A295" i="14"/>
  <c r="B293" i="14"/>
  <c r="A293" i="14"/>
  <c r="B292" i="14"/>
  <c r="A292" i="14"/>
  <c r="B291" i="14"/>
  <c r="A291" i="14"/>
  <c r="B290" i="14"/>
  <c r="A290" i="14"/>
  <c r="B289" i="14"/>
  <c r="A289" i="14"/>
  <c r="B288" i="14"/>
  <c r="A288" i="14"/>
  <c r="B287" i="14"/>
  <c r="A287" i="14"/>
  <c r="B286" i="14"/>
  <c r="A286" i="14"/>
  <c r="B285" i="14"/>
  <c r="A285" i="14"/>
  <c r="B284" i="14"/>
  <c r="A284" i="14"/>
  <c r="B283" i="14"/>
  <c r="A283" i="14"/>
  <c r="B282" i="14"/>
  <c r="B281" i="14"/>
  <c r="B280" i="14"/>
  <c r="A280" i="14"/>
  <c r="B279" i="14"/>
  <c r="A279" i="14"/>
  <c r="B277" i="14"/>
  <c r="A277" i="14"/>
  <c r="B275" i="14"/>
  <c r="A275" i="14"/>
  <c r="B274" i="14"/>
  <c r="A274" i="14"/>
  <c r="B273" i="14"/>
  <c r="A273" i="14"/>
  <c r="B272" i="14"/>
  <c r="A272" i="14"/>
  <c r="B271" i="14"/>
  <c r="A271" i="14"/>
  <c r="B270" i="14"/>
  <c r="A270" i="14"/>
  <c r="B269" i="14"/>
  <c r="A269" i="14"/>
  <c r="B268" i="14"/>
  <c r="A268" i="14"/>
  <c r="B267" i="14"/>
  <c r="A267" i="14"/>
  <c r="B266" i="14"/>
  <c r="A266" i="14"/>
  <c r="B265" i="14"/>
  <c r="A265" i="14"/>
  <c r="B264" i="14"/>
  <c r="B263" i="14"/>
  <c r="B262" i="14"/>
  <c r="B261" i="14"/>
  <c r="A261" i="14"/>
  <c r="B259" i="14"/>
  <c r="A259" i="14"/>
  <c r="B257" i="14"/>
  <c r="A257" i="14"/>
  <c r="B256" i="14"/>
  <c r="A256" i="14"/>
  <c r="B255" i="14"/>
  <c r="A255" i="14"/>
  <c r="B254" i="14"/>
  <c r="A254" i="14"/>
  <c r="B253" i="14"/>
  <c r="A253" i="14"/>
  <c r="B252" i="14"/>
  <c r="A252" i="14"/>
  <c r="B251" i="14"/>
  <c r="A251" i="14"/>
  <c r="B250" i="14"/>
  <c r="A250" i="14"/>
  <c r="B249" i="14"/>
  <c r="A249" i="14"/>
  <c r="B248" i="14"/>
  <c r="A248" i="14"/>
  <c r="B247" i="14"/>
  <c r="A247" i="14"/>
  <c r="B246" i="14"/>
  <c r="B245" i="14"/>
  <c r="B244" i="14"/>
  <c r="B243" i="14"/>
  <c r="A243" i="14"/>
  <c r="B241" i="14"/>
  <c r="A241" i="14"/>
  <c r="B239" i="14"/>
  <c r="A239" i="14"/>
  <c r="B238" i="14"/>
  <c r="A238" i="14"/>
  <c r="B237" i="14"/>
  <c r="A237" i="14"/>
  <c r="B236" i="14"/>
  <c r="A236" i="14"/>
  <c r="B235" i="14"/>
  <c r="A235" i="14"/>
  <c r="B234" i="14"/>
  <c r="A234" i="14"/>
  <c r="B233" i="14"/>
  <c r="A233" i="14"/>
  <c r="B232" i="14"/>
  <c r="A232" i="14"/>
  <c r="B231" i="14"/>
  <c r="A231" i="14"/>
  <c r="B230" i="14"/>
  <c r="A230" i="14"/>
  <c r="B229" i="14"/>
  <c r="A229" i="14"/>
  <c r="B228" i="14"/>
  <c r="B227" i="14"/>
  <c r="B226" i="14"/>
  <c r="B225" i="14"/>
  <c r="A225" i="14"/>
  <c r="B223" i="14"/>
  <c r="A223" i="14"/>
  <c r="B221" i="14"/>
  <c r="A221" i="14"/>
  <c r="B220" i="14"/>
  <c r="A220" i="14"/>
  <c r="B219" i="14"/>
  <c r="A219" i="14"/>
  <c r="B218" i="14"/>
  <c r="A218" i="14"/>
  <c r="B217" i="14"/>
  <c r="A217" i="14"/>
  <c r="B216" i="14"/>
  <c r="A216" i="14"/>
  <c r="B215" i="14"/>
  <c r="A215" i="14"/>
  <c r="B214" i="14"/>
  <c r="A214" i="14"/>
  <c r="B213" i="14"/>
  <c r="A213" i="14"/>
  <c r="B212" i="14"/>
  <c r="A212" i="14"/>
  <c r="B211" i="14"/>
  <c r="A211" i="14"/>
  <c r="B210" i="14"/>
  <c r="B209" i="14"/>
  <c r="B208" i="14"/>
  <c r="B207" i="14"/>
  <c r="A207" i="14"/>
  <c r="B205" i="14"/>
  <c r="A205" i="14"/>
  <c r="B203" i="14"/>
  <c r="A203" i="14"/>
  <c r="B202" i="14"/>
  <c r="A202" i="14"/>
  <c r="B201" i="14"/>
  <c r="A201" i="14"/>
  <c r="B200" i="14"/>
  <c r="A200" i="14"/>
  <c r="B199" i="14"/>
  <c r="A199" i="14"/>
  <c r="B198" i="14"/>
  <c r="A198" i="14"/>
  <c r="B197" i="14"/>
  <c r="A197" i="14"/>
  <c r="B196" i="14"/>
  <c r="A196" i="14"/>
  <c r="B195" i="14"/>
  <c r="A195" i="14"/>
  <c r="B194" i="14"/>
  <c r="A194" i="14"/>
  <c r="B193" i="14"/>
  <c r="A193" i="14"/>
  <c r="B192" i="14"/>
  <c r="B191" i="14"/>
  <c r="B190" i="14"/>
  <c r="B189" i="14"/>
  <c r="A189" i="14"/>
  <c r="B187" i="14"/>
  <c r="A187" i="14"/>
  <c r="B185" i="14"/>
  <c r="A185" i="14"/>
  <c r="B184" i="14"/>
  <c r="A184" i="14"/>
  <c r="B183" i="14"/>
  <c r="A183" i="14"/>
  <c r="B182" i="14"/>
  <c r="A182" i="14"/>
  <c r="B181" i="14"/>
  <c r="A181" i="14"/>
  <c r="B180" i="14"/>
  <c r="A180" i="14"/>
  <c r="B179" i="14"/>
  <c r="A179" i="14"/>
  <c r="B178" i="14"/>
  <c r="A178" i="14"/>
  <c r="B177" i="14"/>
  <c r="A177" i="14"/>
  <c r="B176" i="14"/>
  <c r="A176" i="14"/>
  <c r="B175" i="14"/>
  <c r="A175" i="14"/>
  <c r="B174" i="14"/>
  <c r="B173" i="14"/>
  <c r="B172" i="14"/>
  <c r="B171" i="14"/>
  <c r="A171" i="14"/>
  <c r="B169" i="14"/>
  <c r="A169" i="14"/>
  <c r="B167" i="14"/>
  <c r="A167" i="14"/>
  <c r="B166" i="14"/>
  <c r="A166" i="14"/>
  <c r="B165" i="14"/>
  <c r="A165" i="14"/>
  <c r="B164" i="14"/>
  <c r="A164" i="14"/>
  <c r="B163" i="14"/>
  <c r="A163" i="14"/>
  <c r="B162" i="14"/>
  <c r="A162" i="14"/>
  <c r="B161" i="14"/>
  <c r="A161" i="14"/>
  <c r="B160" i="14"/>
  <c r="A160" i="14"/>
  <c r="B159" i="14"/>
  <c r="A159" i="14"/>
  <c r="B158" i="14"/>
  <c r="A158" i="14"/>
  <c r="B157" i="14"/>
  <c r="A157" i="14"/>
  <c r="B156" i="14"/>
  <c r="B155" i="14"/>
  <c r="B154" i="14"/>
  <c r="B153" i="14"/>
  <c r="A153" i="14"/>
  <c r="B151" i="14"/>
  <c r="A151" i="14"/>
  <c r="B149" i="14"/>
  <c r="A149" i="14"/>
  <c r="B148" i="14"/>
  <c r="A148" i="14"/>
  <c r="B147" i="14"/>
  <c r="A147" i="14"/>
  <c r="B146" i="14"/>
  <c r="A146" i="14"/>
  <c r="B145" i="14"/>
  <c r="A145" i="14"/>
  <c r="B144" i="14"/>
  <c r="A144" i="14"/>
  <c r="B143" i="14"/>
  <c r="A143" i="14"/>
  <c r="B142" i="14"/>
  <c r="A142" i="14"/>
  <c r="B141" i="14"/>
  <c r="A141" i="14"/>
  <c r="B140" i="14"/>
  <c r="A140" i="14"/>
  <c r="B139" i="14"/>
  <c r="A139" i="14"/>
  <c r="B138" i="14"/>
  <c r="B137" i="14"/>
  <c r="B136" i="14"/>
  <c r="B135" i="14"/>
  <c r="A135" i="14"/>
  <c r="B133" i="14"/>
  <c r="A133" i="14"/>
  <c r="B131" i="14"/>
  <c r="A131" i="14"/>
  <c r="B130" i="14"/>
  <c r="A130" i="14"/>
  <c r="B129" i="14"/>
  <c r="A129" i="14"/>
  <c r="B128" i="14"/>
  <c r="A128" i="14"/>
  <c r="B127" i="14"/>
  <c r="A127" i="14"/>
  <c r="B126" i="14"/>
  <c r="A126" i="14"/>
  <c r="B125" i="14"/>
  <c r="A125" i="14"/>
  <c r="B124" i="14"/>
  <c r="A124" i="14"/>
  <c r="B123" i="14"/>
  <c r="A123" i="14"/>
  <c r="B122" i="14"/>
  <c r="A122" i="14"/>
  <c r="B121" i="14"/>
  <c r="A121" i="14"/>
  <c r="B120" i="14"/>
  <c r="B119" i="14"/>
  <c r="B118" i="14"/>
  <c r="B117" i="14"/>
  <c r="A117" i="14"/>
  <c r="B115" i="14"/>
  <c r="A115" i="14"/>
  <c r="B113" i="14"/>
  <c r="A113" i="14"/>
  <c r="B112" i="14"/>
  <c r="A112" i="14"/>
  <c r="B111" i="14"/>
  <c r="A111" i="14"/>
  <c r="B110" i="14"/>
  <c r="A110" i="14"/>
  <c r="B109" i="14"/>
  <c r="A109" i="14"/>
  <c r="B108" i="14"/>
  <c r="A108" i="14"/>
  <c r="B107" i="14"/>
  <c r="A107" i="14"/>
  <c r="B106" i="14"/>
  <c r="A106" i="14"/>
  <c r="B105" i="14"/>
  <c r="A105" i="14"/>
  <c r="B104" i="14"/>
  <c r="A104" i="14"/>
  <c r="B103" i="14"/>
  <c r="A103" i="14"/>
  <c r="B102" i="14"/>
  <c r="B101" i="14"/>
  <c r="B100" i="14"/>
  <c r="B99" i="14"/>
  <c r="A99" i="14"/>
  <c r="B97" i="14"/>
  <c r="A97" i="14"/>
  <c r="B95" i="14"/>
  <c r="A95" i="14"/>
  <c r="B94" i="14"/>
  <c r="A94" i="14"/>
  <c r="B93" i="14"/>
  <c r="A93" i="14"/>
  <c r="B92" i="14"/>
  <c r="A92" i="14"/>
  <c r="B91" i="14"/>
  <c r="A91" i="14"/>
  <c r="B90" i="14"/>
  <c r="A90" i="14"/>
  <c r="B89" i="14"/>
  <c r="A89" i="14"/>
  <c r="B88" i="14"/>
  <c r="A88" i="14"/>
  <c r="B87" i="14"/>
  <c r="A87" i="14"/>
  <c r="B86" i="14"/>
  <c r="A86" i="14"/>
  <c r="B85" i="14"/>
  <c r="A85" i="14"/>
  <c r="B84" i="14"/>
  <c r="B83" i="14"/>
  <c r="B82" i="14"/>
  <c r="B81" i="14"/>
  <c r="A81" i="14"/>
  <c r="B79" i="14"/>
  <c r="A79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B63" i="14"/>
  <c r="A63" i="14"/>
  <c r="B61" i="14"/>
  <c r="A61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B45" i="14"/>
  <c r="A45" i="14"/>
  <c r="B43" i="14"/>
  <c r="A43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B27" i="14"/>
  <c r="A27" i="14"/>
  <c r="B25" i="14"/>
  <c r="A25" i="14"/>
  <c r="A298" i="14" s="1"/>
  <c r="B23" i="14"/>
  <c r="A23" i="14"/>
  <c r="A262" i="14" s="1"/>
  <c r="B22" i="14"/>
  <c r="A22" i="14"/>
  <c r="A244" i="14" s="1"/>
  <c r="B21" i="14"/>
  <c r="A21" i="14"/>
  <c r="A226" i="14" s="1"/>
  <c r="B20" i="14"/>
  <c r="A20" i="14"/>
  <c r="A208" i="14" s="1"/>
  <c r="B19" i="14"/>
  <c r="A19" i="14"/>
  <c r="A190" i="14" s="1"/>
  <c r="B18" i="14"/>
  <c r="A18" i="14"/>
  <c r="A172" i="14" s="1"/>
  <c r="B17" i="14"/>
  <c r="A17" i="14"/>
  <c r="A154" i="14" s="1"/>
  <c r="B16" i="14"/>
  <c r="A16" i="14"/>
  <c r="A136" i="14" s="1"/>
  <c r="B15" i="14"/>
  <c r="A15" i="14"/>
  <c r="A118" i="14" s="1"/>
  <c r="B14" i="14"/>
  <c r="A14" i="14"/>
  <c r="A100" i="14" s="1"/>
  <c r="B13" i="14"/>
  <c r="A13" i="14"/>
  <c r="A82" i="14" s="1"/>
  <c r="B12" i="14"/>
  <c r="A12" i="14"/>
  <c r="A64" i="14" s="1"/>
  <c r="B11" i="14"/>
  <c r="A11" i="14"/>
  <c r="A46" i="14" s="1"/>
  <c r="B10" i="14"/>
  <c r="B9" i="14"/>
  <c r="A9" i="14"/>
  <c r="A10" i="14" s="1"/>
  <c r="A28" i="14" s="1"/>
  <c r="A352" i="14" s="1"/>
  <c r="B8" i="14"/>
  <c r="A8" i="14"/>
  <c r="B7" i="14"/>
  <c r="A7" i="14"/>
  <c r="D357" i="13"/>
  <c r="C357" i="13"/>
  <c r="D356" i="13"/>
  <c r="C356" i="13"/>
  <c r="D355" i="13"/>
  <c r="C355" i="13"/>
  <c r="D354" i="13"/>
  <c r="C354" i="13"/>
  <c r="D353" i="13"/>
  <c r="C353" i="13"/>
  <c r="D352" i="13"/>
  <c r="C352" i="13"/>
  <c r="D351" i="13"/>
  <c r="C351" i="13"/>
  <c r="D350" i="13"/>
  <c r="C350" i="13"/>
  <c r="D349" i="13"/>
  <c r="C349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7" i="13"/>
  <c r="C337" i="13"/>
  <c r="D336" i="13"/>
  <c r="C336" i="13"/>
  <c r="D335" i="13"/>
  <c r="C335" i="13"/>
  <c r="D334" i="13"/>
  <c r="C334" i="13"/>
  <c r="D333" i="13"/>
  <c r="D332" i="13"/>
  <c r="C332" i="13"/>
  <c r="D331" i="13"/>
  <c r="C331" i="13"/>
  <c r="D330" i="13"/>
  <c r="C330" i="13"/>
  <c r="D329" i="13"/>
  <c r="C329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21" i="13"/>
  <c r="C321" i="13"/>
  <c r="D320" i="13"/>
  <c r="C320" i="13"/>
  <c r="D319" i="13"/>
  <c r="C319" i="13"/>
  <c r="D317" i="13"/>
  <c r="C317" i="13"/>
  <c r="D316" i="13"/>
  <c r="C316" i="13"/>
  <c r="D315" i="13"/>
  <c r="C315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7" i="13"/>
  <c r="C297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289" i="13"/>
  <c r="C289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7" i="13"/>
  <c r="C267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7" i="13"/>
  <c r="C257" i="13"/>
  <c r="D256" i="13"/>
  <c r="C256" i="13"/>
  <c r="D255" i="13"/>
  <c r="C255" i="13"/>
  <c r="D254" i="13"/>
  <c r="C254" i="13"/>
  <c r="D253" i="13"/>
  <c r="C253" i="13"/>
  <c r="D252" i="13"/>
  <c r="C252" i="13"/>
  <c r="D251" i="13"/>
  <c r="C251" i="13"/>
  <c r="D250" i="13"/>
  <c r="C250" i="13"/>
  <c r="D249" i="13"/>
  <c r="C249" i="13"/>
  <c r="D247" i="13"/>
  <c r="C24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7" i="13"/>
  <c r="C227" i="13"/>
  <c r="D226" i="13"/>
  <c r="C226" i="13"/>
  <c r="D225" i="13"/>
  <c r="C2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7" i="13"/>
  <c r="C177" i="13"/>
  <c r="D176" i="13"/>
  <c r="C176" i="13"/>
  <c r="D175" i="13"/>
  <c r="C175" i="13"/>
  <c r="D174" i="13"/>
  <c r="C174" i="13"/>
  <c r="D173" i="13"/>
  <c r="C173" i="13"/>
  <c r="D172" i="13"/>
  <c r="C172" i="13"/>
  <c r="D171" i="13"/>
  <c r="C171" i="13"/>
  <c r="D170" i="13"/>
  <c r="C170" i="13"/>
  <c r="D169" i="13"/>
  <c r="C169" i="13"/>
  <c r="D167" i="13"/>
  <c r="C167" i="13"/>
  <c r="D166" i="13"/>
  <c r="C166" i="13"/>
  <c r="D165" i="13"/>
  <c r="C165" i="13"/>
  <c r="D164" i="13"/>
  <c r="C164" i="13"/>
  <c r="D163" i="13"/>
  <c r="C163" i="13"/>
  <c r="D162" i="13"/>
  <c r="C162" i="13"/>
  <c r="D161" i="13"/>
  <c r="C161" i="13"/>
  <c r="D160" i="13"/>
  <c r="C160" i="13"/>
  <c r="D159" i="13"/>
  <c r="C159" i="13"/>
  <c r="D157" i="13"/>
  <c r="C157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20" i="13"/>
  <c r="C120" i="13"/>
  <c r="D119" i="13"/>
  <c r="C119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D60" i="13"/>
  <c r="C60" i="13"/>
  <c r="D59" i="13"/>
  <c r="C59" i="13"/>
  <c r="D57" i="13"/>
  <c r="C57" i="13"/>
  <c r="D56" i="13"/>
  <c r="C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B48" i="13"/>
  <c r="D47" i="13"/>
  <c r="C47" i="13"/>
  <c r="A47" i="13"/>
  <c r="D46" i="13"/>
  <c r="C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B38" i="13"/>
  <c r="A37" i="13"/>
  <c r="B35" i="13"/>
  <c r="B34" i="13"/>
  <c r="B33" i="13"/>
  <c r="B32" i="13"/>
  <c r="B31" i="13"/>
  <c r="B30" i="13"/>
  <c r="B29" i="13"/>
  <c r="B28" i="13"/>
  <c r="A27" i="13"/>
  <c r="B25" i="13"/>
  <c r="B24" i="13"/>
  <c r="B23" i="13"/>
  <c r="B22" i="13"/>
  <c r="B21" i="13"/>
  <c r="B20" i="13"/>
  <c r="B19" i="13"/>
  <c r="B18" i="13"/>
  <c r="A17" i="13"/>
  <c r="B15" i="13"/>
  <c r="B14" i="13"/>
  <c r="B13" i="13"/>
  <c r="B12" i="13"/>
  <c r="B11" i="13"/>
  <c r="B10" i="13"/>
  <c r="B9" i="13"/>
  <c r="B8" i="13"/>
  <c r="A8" i="13"/>
  <c r="A7" i="13"/>
  <c r="B1105" i="12"/>
  <c r="A1105" i="12"/>
  <c r="B1104" i="12"/>
  <c r="A1104" i="12"/>
  <c r="B1103" i="12"/>
  <c r="A1103" i="12"/>
  <c r="B1102" i="12"/>
  <c r="A1102" i="12"/>
  <c r="B1101" i="12"/>
  <c r="A1101" i="12"/>
  <c r="B1100" i="12"/>
  <c r="A1100" i="12"/>
  <c r="B1099" i="12"/>
  <c r="A1099" i="12"/>
  <c r="B1098" i="12"/>
  <c r="A1098" i="12"/>
  <c r="B1097" i="12"/>
  <c r="A1097" i="12"/>
  <c r="B1096" i="12"/>
  <c r="A1096" i="12"/>
  <c r="B1094" i="12"/>
  <c r="A1094" i="12"/>
  <c r="B1093" i="12"/>
  <c r="A1093" i="12"/>
  <c r="B1092" i="12"/>
  <c r="A1092" i="12"/>
  <c r="B1091" i="12"/>
  <c r="A1091" i="12"/>
  <c r="B1090" i="12"/>
  <c r="A1090" i="12"/>
  <c r="B1089" i="12"/>
  <c r="A1089" i="12"/>
  <c r="B1088" i="12"/>
  <c r="A1088" i="12"/>
  <c r="B1087" i="12"/>
  <c r="A1087" i="12"/>
  <c r="B1086" i="12"/>
  <c r="A1086" i="12"/>
  <c r="B1085" i="12"/>
  <c r="A1085" i="12"/>
  <c r="B1083" i="12"/>
  <c r="A1083" i="12"/>
  <c r="B1082" i="12"/>
  <c r="A1082" i="12"/>
  <c r="B1081" i="12"/>
  <c r="A1081" i="12"/>
  <c r="B1080" i="12"/>
  <c r="A1080" i="12"/>
  <c r="B1079" i="12"/>
  <c r="A1079" i="12"/>
  <c r="B1078" i="12"/>
  <c r="A1078" i="12"/>
  <c r="B1077" i="12"/>
  <c r="A1077" i="12"/>
  <c r="B1076" i="12"/>
  <c r="A1076" i="12"/>
  <c r="B1075" i="12"/>
  <c r="A1075" i="12"/>
  <c r="B1074" i="12"/>
  <c r="A1074" i="12"/>
  <c r="B1072" i="12"/>
  <c r="A1072" i="12"/>
  <c r="B1071" i="12"/>
  <c r="A1071" i="12"/>
  <c r="B1070" i="12"/>
  <c r="A1070" i="12"/>
  <c r="B1069" i="12"/>
  <c r="A1069" i="12"/>
  <c r="B1068" i="12"/>
  <c r="A1068" i="12"/>
  <c r="B1067" i="12"/>
  <c r="A1067" i="12"/>
  <c r="B1066" i="12"/>
  <c r="A1066" i="12"/>
  <c r="B1065" i="12"/>
  <c r="A1065" i="12"/>
  <c r="B1064" i="12"/>
  <c r="A1064" i="12"/>
  <c r="B1063" i="12"/>
  <c r="A1063" i="12"/>
  <c r="B1061" i="12"/>
  <c r="A1061" i="12"/>
  <c r="B1060" i="12"/>
  <c r="A1060" i="12"/>
  <c r="B1059" i="12"/>
  <c r="A1059" i="12"/>
  <c r="B1058" i="12"/>
  <c r="A1058" i="12"/>
  <c r="B1057" i="12"/>
  <c r="A1057" i="12"/>
  <c r="B1056" i="12"/>
  <c r="A1056" i="12"/>
  <c r="B1055" i="12"/>
  <c r="A1055" i="12"/>
  <c r="B1054" i="12"/>
  <c r="A1054" i="12"/>
  <c r="B1053" i="12"/>
  <c r="A1053" i="12"/>
  <c r="B1052" i="12"/>
  <c r="A1052" i="12"/>
  <c r="B1050" i="12"/>
  <c r="A1050" i="12"/>
  <c r="B1049" i="12"/>
  <c r="A1049" i="12"/>
  <c r="B1048" i="12"/>
  <c r="A1048" i="12"/>
  <c r="B1047" i="12"/>
  <c r="A1047" i="12"/>
  <c r="B1046" i="12"/>
  <c r="A1046" i="12"/>
  <c r="B1045" i="12"/>
  <c r="A1045" i="12"/>
  <c r="B1044" i="12"/>
  <c r="A1044" i="12"/>
  <c r="B1043" i="12"/>
  <c r="A1043" i="12"/>
  <c r="B1042" i="12"/>
  <c r="A1042" i="12"/>
  <c r="B1041" i="12"/>
  <c r="A1041" i="12"/>
  <c r="B1039" i="12"/>
  <c r="A1039" i="12"/>
  <c r="B1038" i="12"/>
  <c r="A1038" i="12"/>
  <c r="B1037" i="12"/>
  <c r="A1037" i="12"/>
  <c r="B1036" i="12"/>
  <c r="A1036" i="12"/>
  <c r="B1035" i="12"/>
  <c r="A1035" i="12"/>
  <c r="B1034" i="12"/>
  <c r="A1034" i="12"/>
  <c r="B1033" i="12"/>
  <c r="A1033" i="12"/>
  <c r="B1032" i="12"/>
  <c r="A1032" i="12"/>
  <c r="B1031" i="12"/>
  <c r="A1031" i="12"/>
  <c r="B1030" i="12"/>
  <c r="A1030" i="12"/>
  <c r="B1028" i="12"/>
  <c r="A1028" i="12"/>
  <c r="B1027" i="12"/>
  <c r="A1027" i="12"/>
  <c r="B1026" i="12"/>
  <c r="A1026" i="12"/>
  <c r="B1025" i="12"/>
  <c r="A1025" i="12"/>
  <c r="B1024" i="12"/>
  <c r="A1024" i="12"/>
  <c r="B1023" i="12"/>
  <c r="A1023" i="12"/>
  <c r="B1022" i="12"/>
  <c r="A1022" i="12"/>
  <c r="B1021" i="12"/>
  <c r="A1021" i="12"/>
  <c r="B1020" i="12"/>
  <c r="A1020" i="12"/>
  <c r="B1019" i="12"/>
  <c r="A1019" i="12"/>
  <c r="B1017" i="12"/>
  <c r="A1017" i="12"/>
  <c r="B1016" i="12"/>
  <c r="A1016" i="12"/>
  <c r="B1015" i="12"/>
  <c r="A1015" i="12"/>
  <c r="B1014" i="12"/>
  <c r="A1014" i="12"/>
  <c r="B1013" i="12"/>
  <c r="A1013" i="12"/>
  <c r="B1012" i="12"/>
  <c r="A1012" i="12"/>
  <c r="B1011" i="12"/>
  <c r="A1011" i="12"/>
  <c r="B1010" i="12"/>
  <c r="A1010" i="12"/>
  <c r="B1009" i="12"/>
  <c r="A1009" i="12"/>
  <c r="B1008" i="12"/>
  <c r="A1008" i="12"/>
  <c r="B1006" i="12"/>
  <c r="A1006" i="12"/>
  <c r="B1005" i="12"/>
  <c r="A1005" i="12"/>
  <c r="B1004" i="12"/>
  <c r="A1004" i="12"/>
  <c r="B1003" i="12"/>
  <c r="A1003" i="12"/>
  <c r="B1002" i="12"/>
  <c r="A1002" i="12"/>
  <c r="B1001" i="12"/>
  <c r="A1001" i="12"/>
  <c r="B1000" i="12"/>
  <c r="A1000" i="12"/>
  <c r="B999" i="12"/>
  <c r="A999" i="12"/>
  <c r="B998" i="12"/>
  <c r="A998" i="12"/>
  <c r="B997" i="12"/>
  <c r="A997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B953" i="12"/>
  <c r="A953" i="12"/>
  <c r="B951" i="12"/>
  <c r="A951" i="12"/>
  <c r="B950" i="12"/>
  <c r="A950" i="12"/>
  <c r="B949" i="12"/>
  <c r="A949" i="12"/>
  <c r="B948" i="12"/>
  <c r="A948" i="12"/>
  <c r="B947" i="12"/>
  <c r="A947" i="12"/>
  <c r="B946" i="12"/>
  <c r="A946" i="12"/>
  <c r="B945" i="12"/>
  <c r="A945" i="12"/>
  <c r="B944" i="12"/>
  <c r="A944" i="12"/>
  <c r="B943" i="12"/>
  <c r="A943" i="12"/>
  <c r="B942" i="12"/>
  <c r="A942" i="12"/>
  <c r="B940" i="12"/>
  <c r="A940" i="12"/>
  <c r="B939" i="12"/>
  <c r="A939" i="12"/>
  <c r="B938" i="12"/>
  <c r="A938" i="12"/>
  <c r="B937" i="12"/>
  <c r="A937" i="12"/>
  <c r="B936" i="12"/>
  <c r="A936" i="12"/>
  <c r="B935" i="12"/>
  <c r="A935" i="12"/>
  <c r="B934" i="12"/>
  <c r="A934" i="12"/>
  <c r="B933" i="12"/>
  <c r="A933" i="12"/>
  <c r="B932" i="12"/>
  <c r="A932" i="12"/>
  <c r="B931" i="12"/>
  <c r="A931" i="12"/>
  <c r="B929" i="12"/>
  <c r="A929" i="12"/>
  <c r="B928" i="12"/>
  <c r="A928" i="12"/>
  <c r="B927" i="12"/>
  <c r="A927" i="12"/>
  <c r="B926" i="12"/>
  <c r="A926" i="12"/>
  <c r="B925" i="12"/>
  <c r="A925" i="12"/>
  <c r="B924" i="12"/>
  <c r="A924" i="12"/>
  <c r="B923" i="12"/>
  <c r="A923" i="12"/>
  <c r="B922" i="12"/>
  <c r="A922" i="12"/>
  <c r="B921" i="12"/>
  <c r="A921" i="12"/>
  <c r="B920" i="12"/>
  <c r="A920" i="12"/>
  <c r="B918" i="12"/>
  <c r="A918" i="12"/>
  <c r="B917" i="12"/>
  <c r="A917" i="12"/>
  <c r="B916" i="12"/>
  <c r="A916" i="12"/>
  <c r="B915" i="12"/>
  <c r="A915" i="12"/>
  <c r="B914" i="12"/>
  <c r="A914" i="12"/>
  <c r="B913" i="12"/>
  <c r="A913" i="12"/>
  <c r="B912" i="12"/>
  <c r="A912" i="12"/>
  <c r="B911" i="12"/>
  <c r="A911" i="12"/>
  <c r="B910" i="12"/>
  <c r="A910" i="12"/>
  <c r="B909" i="12"/>
  <c r="A909" i="12"/>
  <c r="B907" i="12"/>
  <c r="A907" i="12"/>
  <c r="B906" i="12"/>
  <c r="A906" i="12"/>
  <c r="B905" i="12"/>
  <c r="A905" i="12"/>
  <c r="B904" i="12"/>
  <c r="A904" i="12"/>
  <c r="B903" i="12"/>
  <c r="A903" i="12"/>
  <c r="B902" i="12"/>
  <c r="A902" i="12"/>
  <c r="B901" i="12"/>
  <c r="A901" i="12"/>
  <c r="B900" i="12"/>
  <c r="A900" i="12"/>
  <c r="B899" i="12"/>
  <c r="A899" i="12"/>
  <c r="B898" i="12"/>
  <c r="A898" i="12"/>
  <c r="A895" i="12"/>
  <c r="A893" i="12"/>
  <c r="A891" i="12"/>
  <c r="A889" i="12"/>
  <c r="A887" i="12"/>
  <c r="B885" i="12"/>
  <c r="A885" i="12"/>
  <c r="B884" i="12"/>
  <c r="A884" i="12"/>
  <c r="B883" i="12"/>
  <c r="A883" i="12"/>
  <c r="B882" i="12"/>
  <c r="A882" i="12"/>
  <c r="B881" i="12"/>
  <c r="A881" i="12"/>
  <c r="B880" i="12"/>
  <c r="A880" i="12"/>
  <c r="B879" i="12"/>
  <c r="A879" i="12"/>
  <c r="B878" i="12"/>
  <c r="A878" i="12"/>
  <c r="B877" i="12"/>
  <c r="A877" i="12"/>
  <c r="B876" i="12"/>
  <c r="A876" i="12"/>
  <c r="B874" i="12"/>
  <c r="A874" i="12"/>
  <c r="B873" i="12"/>
  <c r="A873" i="12"/>
  <c r="B872" i="12"/>
  <c r="A872" i="12"/>
  <c r="B871" i="12"/>
  <c r="A871" i="12"/>
  <c r="B870" i="12"/>
  <c r="A870" i="12"/>
  <c r="B869" i="12"/>
  <c r="A869" i="12"/>
  <c r="B868" i="12"/>
  <c r="A868" i="12"/>
  <c r="B867" i="12"/>
  <c r="A867" i="12"/>
  <c r="B866" i="12"/>
  <c r="A866" i="12"/>
  <c r="B865" i="12"/>
  <c r="A865" i="12"/>
  <c r="B863" i="12"/>
  <c r="A863" i="12"/>
  <c r="B862" i="12"/>
  <c r="A862" i="12"/>
  <c r="B861" i="12"/>
  <c r="A861" i="12"/>
  <c r="B860" i="12"/>
  <c r="A860" i="12"/>
  <c r="B859" i="12"/>
  <c r="A859" i="12"/>
  <c r="B858" i="12"/>
  <c r="A858" i="12"/>
  <c r="B857" i="12"/>
  <c r="A857" i="12"/>
  <c r="B856" i="12"/>
  <c r="A856" i="12"/>
  <c r="B855" i="12"/>
  <c r="A855" i="12"/>
  <c r="B854" i="12"/>
  <c r="A854" i="12"/>
  <c r="B852" i="12"/>
  <c r="A852" i="12"/>
  <c r="B851" i="12"/>
  <c r="A851" i="12"/>
  <c r="B850" i="12"/>
  <c r="A850" i="12"/>
  <c r="B849" i="12"/>
  <c r="A849" i="12"/>
  <c r="B848" i="12"/>
  <c r="A848" i="12"/>
  <c r="B847" i="12"/>
  <c r="A847" i="12"/>
  <c r="B846" i="12"/>
  <c r="A846" i="12"/>
  <c r="B845" i="12"/>
  <c r="A845" i="12"/>
  <c r="B844" i="12"/>
  <c r="A844" i="12"/>
  <c r="B843" i="12"/>
  <c r="A843" i="12"/>
  <c r="B841" i="12"/>
  <c r="A841" i="12"/>
  <c r="B840" i="12"/>
  <c r="A840" i="12"/>
  <c r="B839" i="12"/>
  <c r="A839" i="12"/>
  <c r="B838" i="12"/>
  <c r="A838" i="12"/>
  <c r="B837" i="12"/>
  <c r="A837" i="12"/>
  <c r="B836" i="12"/>
  <c r="A836" i="12"/>
  <c r="B835" i="12"/>
  <c r="A835" i="12"/>
  <c r="B834" i="12"/>
  <c r="A834" i="12"/>
  <c r="B833" i="12"/>
  <c r="A833" i="12"/>
  <c r="B832" i="12"/>
  <c r="A832" i="12"/>
  <c r="B830" i="12"/>
  <c r="A830" i="12"/>
  <c r="B829" i="12"/>
  <c r="A829" i="12"/>
  <c r="B828" i="12"/>
  <c r="A828" i="12"/>
  <c r="B827" i="12"/>
  <c r="A827" i="12"/>
  <c r="B826" i="12"/>
  <c r="A826" i="12"/>
  <c r="B825" i="12"/>
  <c r="A825" i="12"/>
  <c r="B824" i="12"/>
  <c r="A824" i="12"/>
  <c r="B823" i="12"/>
  <c r="A823" i="12"/>
  <c r="B822" i="12"/>
  <c r="A822" i="12"/>
  <c r="B821" i="12"/>
  <c r="A821" i="12"/>
  <c r="B819" i="12"/>
  <c r="A819" i="12"/>
  <c r="B818" i="12"/>
  <c r="A818" i="12"/>
  <c r="B817" i="12"/>
  <c r="A817" i="12"/>
  <c r="B816" i="12"/>
  <c r="A816" i="12"/>
  <c r="B815" i="12"/>
  <c r="A815" i="12"/>
  <c r="B814" i="12"/>
  <c r="A814" i="12"/>
  <c r="B813" i="12"/>
  <c r="A813" i="12"/>
  <c r="B812" i="12"/>
  <c r="A812" i="12"/>
  <c r="B811" i="12"/>
  <c r="A811" i="12"/>
  <c r="B810" i="12"/>
  <c r="A810" i="12"/>
  <c r="B808" i="12"/>
  <c r="A808" i="12"/>
  <c r="B807" i="12"/>
  <c r="A807" i="12"/>
  <c r="B806" i="12"/>
  <c r="A806" i="12"/>
  <c r="B805" i="12"/>
  <c r="A805" i="12"/>
  <c r="B804" i="12"/>
  <c r="A804" i="12"/>
  <c r="B803" i="12"/>
  <c r="A803" i="12"/>
  <c r="B802" i="12"/>
  <c r="A802" i="12"/>
  <c r="B801" i="12"/>
  <c r="A801" i="12"/>
  <c r="B800" i="12"/>
  <c r="A800" i="12"/>
  <c r="B799" i="12"/>
  <c r="A799" i="12"/>
  <c r="B797" i="12"/>
  <c r="A797" i="12"/>
  <c r="B796" i="12"/>
  <c r="A796" i="12"/>
  <c r="B795" i="12"/>
  <c r="A795" i="12"/>
  <c r="B794" i="12"/>
  <c r="A794" i="12"/>
  <c r="B793" i="12"/>
  <c r="A793" i="12"/>
  <c r="B792" i="12"/>
  <c r="A792" i="12"/>
  <c r="B791" i="12"/>
  <c r="A791" i="12"/>
  <c r="B790" i="12"/>
  <c r="A790" i="12"/>
  <c r="B789" i="12"/>
  <c r="A789" i="12"/>
  <c r="B788" i="12"/>
  <c r="A788" i="12"/>
  <c r="B786" i="12"/>
  <c r="A786" i="12"/>
  <c r="B785" i="12"/>
  <c r="A785" i="12"/>
  <c r="B784" i="12"/>
  <c r="A784" i="12"/>
  <c r="B783" i="12"/>
  <c r="A783" i="12"/>
  <c r="B782" i="12"/>
  <c r="A782" i="12"/>
  <c r="B781" i="12"/>
  <c r="A781" i="12"/>
  <c r="B780" i="12"/>
  <c r="A780" i="12"/>
  <c r="B779" i="12"/>
  <c r="A779" i="12"/>
  <c r="B778" i="12"/>
  <c r="A778" i="12"/>
  <c r="B777" i="12"/>
  <c r="A777" i="12"/>
  <c r="B775" i="12"/>
  <c r="A775" i="12"/>
  <c r="B774" i="12"/>
  <c r="A774" i="12"/>
  <c r="B773" i="12"/>
  <c r="A773" i="12"/>
  <c r="B772" i="12"/>
  <c r="A772" i="12"/>
  <c r="B771" i="12"/>
  <c r="A771" i="12"/>
  <c r="B770" i="12"/>
  <c r="A770" i="12"/>
  <c r="B769" i="12"/>
  <c r="A769" i="12"/>
  <c r="B768" i="12"/>
  <c r="A768" i="12"/>
  <c r="B767" i="12"/>
  <c r="A767" i="12"/>
  <c r="B766" i="12"/>
  <c r="A766" i="12"/>
  <c r="B764" i="12"/>
  <c r="A764" i="12"/>
  <c r="B763" i="12"/>
  <c r="A763" i="12"/>
  <c r="B762" i="12"/>
  <c r="A762" i="12"/>
  <c r="B761" i="12"/>
  <c r="A761" i="12"/>
  <c r="B760" i="12"/>
  <c r="A760" i="12"/>
  <c r="B759" i="12"/>
  <c r="A759" i="12"/>
  <c r="B758" i="12"/>
  <c r="A758" i="12"/>
  <c r="B757" i="12"/>
  <c r="A757" i="12"/>
  <c r="B756" i="12"/>
  <c r="A756" i="12"/>
  <c r="B755" i="12"/>
  <c r="A755" i="12"/>
  <c r="B753" i="12"/>
  <c r="A753" i="12"/>
  <c r="B752" i="12"/>
  <c r="A752" i="12"/>
  <c r="B751" i="12"/>
  <c r="A751" i="12"/>
  <c r="B750" i="12"/>
  <c r="A750" i="12"/>
  <c r="B749" i="12"/>
  <c r="A749" i="12"/>
  <c r="B748" i="12"/>
  <c r="A748" i="12"/>
  <c r="B747" i="12"/>
  <c r="A747" i="12"/>
  <c r="B746" i="12"/>
  <c r="A746" i="12"/>
  <c r="B745" i="12"/>
  <c r="A745" i="12"/>
  <c r="B744" i="12"/>
  <c r="A744" i="12"/>
  <c r="B742" i="12"/>
  <c r="A742" i="12"/>
  <c r="B741" i="12"/>
  <c r="A741" i="12"/>
  <c r="B740" i="12"/>
  <c r="A740" i="12"/>
  <c r="B739" i="12"/>
  <c r="A739" i="12"/>
  <c r="B738" i="12"/>
  <c r="A738" i="12"/>
  <c r="B737" i="12"/>
  <c r="A737" i="12"/>
  <c r="B736" i="12"/>
  <c r="A736" i="12"/>
  <c r="B735" i="12"/>
  <c r="A735" i="12"/>
  <c r="B734" i="12"/>
  <c r="A734" i="12"/>
  <c r="B733" i="12"/>
  <c r="A733" i="12"/>
  <c r="B731" i="12"/>
  <c r="A731" i="12"/>
  <c r="B730" i="12"/>
  <c r="A730" i="12"/>
  <c r="B729" i="12"/>
  <c r="A729" i="12"/>
  <c r="B728" i="12"/>
  <c r="A728" i="12"/>
  <c r="B727" i="12"/>
  <c r="A727" i="12"/>
  <c r="B726" i="12"/>
  <c r="A726" i="12"/>
  <c r="B725" i="12"/>
  <c r="A725" i="12"/>
  <c r="B724" i="12"/>
  <c r="A724" i="12"/>
  <c r="B723" i="12"/>
  <c r="A723" i="12"/>
  <c r="B722" i="12"/>
  <c r="A722" i="12"/>
  <c r="B720" i="12"/>
  <c r="A720" i="12"/>
  <c r="B719" i="12"/>
  <c r="A719" i="12"/>
  <c r="B718" i="12"/>
  <c r="A718" i="12"/>
  <c r="B717" i="12"/>
  <c r="A717" i="12"/>
  <c r="B716" i="12"/>
  <c r="A716" i="12"/>
  <c r="B715" i="12"/>
  <c r="A715" i="12"/>
  <c r="B714" i="12"/>
  <c r="A714" i="12"/>
  <c r="B713" i="12"/>
  <c r="A713" i="12"/>
  <c r="B712" i="12"/>
  <c r="A712" i="12"/>
  <c r="B711" i="12"/>
  <c r="A711" i="12"/>
  <c r="B709" i="12"/>
  <c r="A709" i="12"/>
  <c r="B708" i="12"/>
  <c r="A708" i="12"/>
  <c r="B707" i="12"/>
  <c r="A707" i="12"/>
  <c r="B706" i="12"/>
  <c r="A706" i="12"/>
  <c r="B705" i="12"/>
  <c r="A705" i="12"/>
  <c r="B704" i="12"/>
  <c r="A704" i="12"/>
  <c r="B703" i="12"/>
  <c r="A703" i="12"/>
  <c r="B702" i="12"/>
  <c r="A702" i="12"/>
  <c r="B701" i="12"/>
  <c r="A701" i="12"/>
  <c r="B700" i="12"/>
  <c r="A700" i="12"/>
  <c r="B698" i="12"/>
  <c r="A698" i="12"/>
  <c r="B697" i="12"/>
  <c r="A697" i="12"/>
  <c r="B696" i="12"/>
  <c r="A696" i="12"/>
  <c r="B695" i="12"/>
  <c r="A695" i="12"/>
  <c r="B694" i="12"/>
  <c r="A694" i="12"/>
  <c r="B693" i="12"/>
  <c r="A693" i="12"/>
  <c r="B692" i="12"/>
  <c r="A692" i="12"/>
  <c r="B691" i="12"/>
  <c r="A691" i="12"/>
  <c r="B690" i="12"/>
  <c r="A690" i="12"/>
  <c r="B689" i="12"/>
  <c r="A689" i="12"/>
  <c r="B687" i="12"/>
  <c r="A687" i="12"/>
  <c r="B686" i="12"/>
  <c r="A686" i="12"/>
  <c r="B685" i="12"/>
  <c r="A685" i="12"/>
  <c r="B684" i="12"/>
  <c r="A684" i="12"/>
  <c r="B683" i="12"/>
  <c r="A683" i="12"/>
  <c r="B682" i="12"/>
  <c r="A682" i="12"/>
  <c r="B681" i="12"/>
  <c r="A681" i="12"/>
  <c r="B680" i="12"/>
  <c r="A680" i="12"/>
  <c r="B679" i="12"/>
  <c r="A679" i="12"/>
  <c r="B678" i="12"/>
  <c r="A678" i="12"/>
  <c r="B676" i="12"/>
  <c r="A676" i="12"/>
  <c r="B675" i="12"/>
  <c r="A675" i="12"/>
  <c r="B674" i="12"/>
  <c r="A674" i="12"/>
  <c r="B673" i="12"/>
  <c r="A673" i="12"/>
  <c r="B672" i="12"/>
  <c r="A672" i="12"/>
  <c r="B671" i="12"/>
  <c r="A671" i="12"/>
  <c r="B670" i="12"/>
  <c r="A670" i="12"/>
  <c r="B669" i="12"/>
  <c r="A669" i="12"/>
  <c r="B668" i="12"/>
  <c r="A668" i="12"/>
  <c r="B667" i="12"/>
  <c r="A667" i="12"/>
  <c r="B665" i="12"/>
  <c r="A665" i="12"/>
  <c r="B664" i="12"/>
  <c r="A664" i="12"/>
  <c r="B663" i="12"/>
  <c r="A663" i="12"/>
  <c r="B662" i="12"/>
  <c r="A662" i="12"/>
  <c r="B661" i="12"/>
  <c r="A661" i="12"/>
  <c r="B660" i="12"/>
  <c r="A660" i="12"/>
  <c r="B659" i="12"/>
  <c r="A659" i="12"/>
  <c r="B658" i="12"/>
  <c r="A658" i="12"/>
  <c r="B657" i="12"/>
  <c r="A657" i="12"/>
  <c r="B656" i="12"/>
  <c r="A656" i="12"/>
  <c r="B654" i="12"/>
  <c r="A654" i="12"/>
  <c r="B653" i="12"/>
  <c r="A653" i="12"/>
  <c r="B652" i="12"/>
  <c r="A652" i="12"/>
  <c r="B651" i="12"/>
  <c r="A651" i="12"/>
  <c r="B650" i="12"/>
  <c r="A650" i="12"/>
  <c r="B649" i="12"/>
  <c r="A649" i="12"/>
  <c r="B648" i="12"/>
  <c r="A648" i="12"/>
  <c r="B647" i="12"/>
  <c r="A647" i="12"/>
  <c r="B646" i="12"/>
  <c r="A646" i="12"/>
  <c r="B645" i="12"/>
  <c r="A645" i="12"/>
  <c r="B643" i="12"/>
  <c r="A643" i="12"/>
  <c r="B642" i="12"/>
  <c r="A642" i="12"/>
  <c r="B641" i="12"/>
  <c r="A641" i="12"/>
  <c r="B640" i="12"/>
  <c r="A640" i="12"/>
  <c r="B639" i="12"/>
  <c r="A639" i="12"/>
  <c r="B638" i="12"/>
  <c r="A638" i="12"/>
  <c r="B637" i="12"/>
  <c r="A637" i="12"/>
  <c r="B636" i="12"/>
  <c r="A636" i="12"/>
  <c r="B635" i="12"/>
  <c r="A635" i="12"/>
  <c r="B634" i="12"/>
  <c r="A634" i="12"/>
  <c r="B632" i="12"/>
  <c r="A632" i="12"/>
  <c r="B631" i="12"/>
  <c r="A631" i="12"/>
  <c r="B630" i="12"/>
  <c r="A630" i="12"/>
  <c r="B629" i="12"/>
  <c r="A629" i="12"/>
  <c r="B628" i="12"/>
  <c r="A628" i="12"/>
  <c r="B627" i="12"/>
  <c r="A627" i="12"/>
  <c r="B626" i="12"/>
  <c r="A626" i="12"/>
  <c r="B625" i="12"/>
  <c r="A625" i="12"/>
  <c r="B624" i="12"/>
  <c r="A624" i="12"/>
  <c r="B623" i="12"/>
  <c r="A623" i="12"/>
  <c r="B621" i="12"/>
  <c r="A621" i="12"/>
  <c r="B620" i="12"/>
  <c r="A620" i="12"/>
  <c r="B619" i="12"/>
  <c r="A619" i="12"/>
  <c r="B618" i="12"/>
  <c r="A618" i="12"/>
  <c r="B617" i="12"/>
  <c r="A617" i="12"/>
  <c r="B616" i="12"/>
  <c r="A616" i="12"/>
  <c r="B615" i="12"/>
  <c r="A615" i="12"/>
  <c r="B614" i="12"/>
  <c r="A614" i="12"/>
  <c r="B613" i="12"/>
  <c r="A613" i="12"/>
  <c r="B612" i="12"/>
  <c r="A612" i="12"/>
  <c r="B610" i="12"/>
  <c r="A610" i="12"/>
  <c r="B609" i="12"/>
  <c r="A609" i="12"/>
  <c r="B608" i="12"/>
  <c r="A608" i="12"/>
  <c r="B607" i="12"/>
  <c r="A607" i="12"/>
  <c r="B606" i="12"/>
  <c r="A606" i="12"/>
  <c r="B605" i="12"/>
  <c r="A605" i="12"/>
  <c r="B604" i="12"/>
  <c r="A604" i="12"/>
  <c r="B603" i="12"/>
  <c r="A603" i="12"/>
  <c r="B602" i="12"/>
  <c r="A602" i="12"/>
  <c r="B601" i="12"/>
  <c r="A601" i="12"/>
  <c r="B599" i="12"/>
  <c r="A599" i="12"/>
  <c r="B598" i="12"/>
  <c r="A598" i="12"/>
  <c r="B597" i="12"/>
  <c r="A597" i="12"/>
  <c r="B596" i="12"/>
  <c r="A596" i="12"/>
  <c r="B595" i="12"/>
  <c r="A595" i="12"/>
  <c r="B594" i="12"/>
  <c r="A594" i="12"/>
  <c r="B593" i="12"/>
  <c r="A593" i="12"/>
  <c r="B592" i="12"/>
  <c r="A592" i="12"/>
  <c r="B591" i="12"/>
  <c r="A591" i="12"/>
  <c r="B590" i="12"/>
  <c r="A590" i="12"/>
  <c r="B588" i="12"/>
  <c r="A588" i="12"/>
  <c r="B587" i="12"/>
  <c r="A587" i="12"/>
  <c r="B586" i="12"/>
  <c r="A586" i="12"/>
  <c r="B585" i="12"/>
  <c r="A585" i="12"/>
  <c r="B584" i="12"/>
  <c r="A584" i="12"/>
  <c r="B583" i="12"/>
  <c r="A583" i="12"/>
  <c r="B582" i="12"/>
  <c r="A582" i="12"/>
  <c r="B581" i="12"/>
  <c r="A581" i="12"/>
  <c r="B580" i="12"/>
  <c r="A580" i="12"/>
  <c r="B579" i="12"/>
  <c r="A579" i="12"/>
  <c r="B577" i="12"/>
  <c r="A577" i="12"/>
  <c r="B576" i="12"/>
  <c r="A576" i="12"/>
  <c r="B575" i="12"/>
  <c r="A575" i="12"/>
  <c r="B574" i="12"/>
  <c r="A574" i="12"/>
  <c r="B573" i="12"/>
  <c r="A573" i="12"/>
  <c r="B572" i="12"/>
  <c r="A572" i="12"/>
  <c r="B571" i="12"/>
  <c r="A571" i="12"/>
  <c r="B570" i="12"/>
  <c r="A570" i="12"/>
  <c r="B569" i="12"/>
  <c r="A569" i="12"/>
  <c r="B568" i="12"/>
  <c r="A568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8" i="12"/>
  <c r="A38" i="12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H19" i="12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B19" i="12"/>
  <c r="A19" i="12"/>
  <c r="B18" i="12"/>
  <c r="A18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F8" i="12"/>
  <c r="B8" i="12"/>
  <c r="A8" i="12"/>
  <c r="B7" i="12"/>
  <c r="A7" i="12"/>
  <c r="B381" i="11"/>
  <c r="A381" i="11"/>
  <c r="B380" i="11"/>
  <c r="A380" i="11"/>
  <c r="B379" i="11"/>
  <c r="A379" i="11"/>
  <c r="B378" i="11"/>
  <c r="A378" i="11"/>
  <c r="B377" i="11"/>
  <c r="A377" i="11"/>
  <c r="B376" i="11"/>
  <c r="A376" i="11"/>
  <c r="B375" i="11"/>
  <c r="A375" i="11"/>
  <c r="B373" i="11"/>
  <c r="A373" i="11"/>
  <c r="B372" i="11"/>
  <c r="A372" i="11"/>
  <c r="B371" i="11"/>
  <c r="A371" i="11"/>
  <c r="B370" i="11"/>
  <c r="A370" i="11"/>
  <c r="B369" i="11"/>
  <c r="A369" i="11"/>
  <c r="B368" i="11"/>
  <c r="A368" i="11"/>
  <c r="B367" i="11"/>
  <c r="A367" i="11"/>
  <c r="B365" i="11"/>
  <c r="A365" i="11"/>
  <c r="B364" i="11"/>
  <c r="A364" i="11"/>
  <c r="B363" i="11"/>
  <c r="A363" i="11"/>
  <c r="B362" i="11"/>
  <c r="A362" i="11"/>
  <c r="B361" i="11"/>
  <c r="A361" i="11"/>
  <c r="B360" i="11"/>
  <c r="A360" i="11"/>
  <c r="B359" i="11"/>
  <c r="A359" i="11"/>
  <c r="B357" i="11"/>
  <c r="A357" i="11"/>
  <c r="B356" i="11"/>
  <c r="A356" i="11"/>
  <c r="B355" i="11"/>
  <c r="A355" i="11"/>
  <c r="B354" i="11"/>
  <c r="A354" i="11"/>
  <c r="B353" i="11"/>
  <c r="A353" i="11"/>
  <c r="B352" i="11"/>
  <c r="A352" i="11"/>
  <c r="B351" i="11"/>
  <c r="A351" i="11"/>
  <c r="B349" i="11"/>
  <c r="A349" i="11"/>
  <c r="B348" i="11"/>
  <c r="A348" i="11"/>
  <c r="B347" i="11"/>
  <c r="A347" i="11"/>
  <c r="B346" i="11"/>
  <c r="A346" i="11"/>
  <c r="B345" i="11"/>
  <c r="A345" i="11"/>
  <c r="B344" i="11"/>
  <c r="A344" i="11"/>
  <c r="B343" i="11"/>
  <c r="A343" i="11"/>
  <c r="B341" i="11"/>
  <c r="A341" i="11"/>
  <c r="B340" i="11"/>
  <c r="A340" i="11"/>
  <c r="B339" i="11"/>
  <c r="A339" i="11"/>
  <c r="B338" i="11"/>
  <c r="A338" i="11"/>
  <c r="B337" i="11"/>
  <c r="A337" i="11"/>
  <c r="B336" i="11"/>
  <c r="A336" i="11"/>
  <c r="B335" i="11"/>
  <c r="A335" i="11"/>
  <c r="B333" i="11"/>
  <c r="A333" i="11"/>
  <c r="B332" i="11"/>
  <c r="A332" i="11"/>
  <c r="B331" i="11"/>
  <c r="A331" i="11"/>
  <c r="B330" i="11"/>
  <c r="A330" i="11"/>
  <c r="B329" i="11"/>
  <c r="A329" i="11"/>
  <c r="B328" i="11"/>
  <c r="A328" i="11"/>
  <c r="B327" i="11"/>
  <c r="A327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1" i="11"/>
  <c r="B100" i="11"/>
  <c r="B99" i="11"/>
  <c r="B98" i="11"/>
  <c r="B97" i="11"/>
  <c r="B95" i="11"/>
  <c r="A95" i="11"/>
  <c r="B93" i="11"/>
  <c r="B92" i="11"/>
  <c r="B91" i="11"/>
  <c r="B90" i="11"/>
  <c r="B89" i="11"/>
  <c r="B87" i="11"/>
  <c r="A87" i="11"/>
  <c r="B85" i="11"/>
  <c r="B84" i="11"/>
  <c r="B83" i="11"/>
  <c r="B82" i="11"/>
  <c r="B81" i="11"/>
  <c r="B79" i="11"/>
  <c r="A79" i="11"/>
  <c r="B77" i="11"/>
  <c r="B76" i="11"/>
  <c r="B75" i="11"/>
  <c r="B74" i="11"/>
  <c r="B73" i="11"/>
  <c r="B71" i="11"/>
  <c r="A71" i="11"/>
  <c r="B69" i="11"/>
  <c r="B68" i="11"/>
  <c r="B67" i="11"/>
  <c r="B66" i="11"/>
  <c r="B65" i="11"/>
  <c r="B63" i="11"/>
  <c r="A63" i="11"/>
  <c r="B61" i="11"/>
  <c r="B60" i="11"/>
  <c r="B59" i="11"/>
  <c r="B58" i="11"/>
  <c r="B57" i="11"/>
  <c r="B55" i="11"/>
  <c r="A55" i="11"/>
  <c r="B53" i="11"/>
  <c r="B52" i="11"/>
  <c r="B51" i="11"/>
  <c r="B50" i="11"/>
  <c r="B49" i="11"/>
  <c r="B47" i="11"/>
  <c r="A47" i="11"/>
  <c r="B45" i="11"/>
  <c r="B44" i="11"/>
  <c r="B43" i="11"/>
  <c r="B42" i="11"/>
  <c r="B41" i="11"/>
  <c r="B39" i="11"/>
  <c r="A39" i="11"/>
  <c r="B37" i="11"/>
  <c r="B36" i="11"/>
  <c r="B35" i="11"/>
  <c r="B34" i="11"/>
  <c r="B33" i="11"/>
  <c r="B31" i="11"/>
  <c r="A31" i="11"/>
  <c r="B29" i="11"/>
  <c r="B28" i="11"/>
  <c r="B27" i="11"/>
  <c r="B26" i="11"/>
  <c r="B25" i="11"/>
  <c r="B23" i="11"/>
  <c r="A23" i="11"/>
  <c r="B21" i="11"/>
  <c r="A21" i="11"/>
  <c r="B20" i="11"/>
  <c r="B19" i="11"/>
  <c r="B18" i="11"/>
  <c r="B17" i="11"/>
  <c r="B15" i="11"/>
  <c r="A15" i="11"/>
  <c r="P13" i="11"/>
  <c r="B13" i="11"/>
  <c r="B12" i="11"/>
  <c r="B11" i="11"/>
  <c r="B10" i="11"/>
  <c r="B9" i="11"/>
  <c r="B7" i="11"/>
  <c r="A7" i="11"/>
  <c r="V215" i="10"/>
  <c r="T215" i="10"/>
  <c r="R215" i="10"/>
  <c r="P215" i="10"/>
  <c r="N215" i="10"/>
  <c r="L215" i="10"/>
  <c r="J215" i="10"/>
  <c r="C215" i="10"/>
  <c r="B215" i="10"/>
  <c r="V213" i="10"/>
  <c r="T213" i="10"/>
  <c r="S213" i="10"/>
  <c r="V212" i="10"/>
  <c r="T212" i="10"/>
  <c r="S212" i="10"/>
  <c r="V211" i="10"/>
  <c r="T211" i="10"/>
  <c r="S211" i="10"/>
  <c r="V210" i="10"/>
  <c r="T210" i="10"/>
  <c r="S210" i="10"/>
  <c r="V209" i="10"/>
  <c r="T209" i="10"/>
  <c r="S209" i="10"/>
  <c r="V208" i="10"/>
  <c r="T208" i="10"/>
  <c r="S208" i="10"/>
  <c r="V207" i="10"/>
  <c r="T207" i="10"/>
  <c r="S207" i="10"/>
  <c r="V206" i="10"/>
  <c r="T206" i="10"/>
  <c r="S206" i="10"/>
  <c r="V205" i="10"/>
  <c r="T205" i="10"/>
  <c r="S205" i="10"/>
  <c r="V204" i="10"/>
  <c r="T204" i="10"/>
  <c r="S204" i="10"/>
  <c r="V203" i="10"/>
  <c r="T203" i="10"/>
  <c r="S203" i="10"/>
  <c r="V202" i="10"/>
  <c r="T202" i="10"/>
  <c r="S202" i="10"/>
  <c r="V201" i="10"/>
  <c r="T201" i="10"/>
  <c r="S201" i="10"/>
  <c r="V200" i="10"/>
  <c r="T200" i="10"/>
  <c r="S200" i="10"/>
  <c r="V199" i="10"/>
  <c r="T199" i="10"/>
  <c r="S199" i="10"/>
  <c r="V198" i="10"/>
  <c r="T198" i="10"/>
  <c r="S198" i="10"/>
  <c r="V197" i="10"/>
  <c r="T197" i="10"/>
  <c r="S197" i="10"/>
  <c r="V196" i="10"/>
  <c r="T196" i="10"/>
  <c r="S196" i="10"/>
  <c r="V195" i="10"/>
  <c r="T195" i="10"/>
  <c r="S195" i="10"/>
  <c r="V194" i="10"/>
  <c r="T194" i="10"/>
  <c r="S194" i="10"/>
  <c r="V193" i="10"/>
  <c r="T193" i="10"/>
  <c r="S193" i="10"/>
  <c r="V192" i="10"/>
  <c r="T192" i="10"/>
  <c r="S192" i="10"/>
  <c r="V191" i="10"/>
  <c r="T191" i="10"/>
  <c r="S191" i="10"/>
  <c r="V190" i="10"/>
  <c r="T190" i="10"/>
  <c r="S190" i="10"/>
  <c r="V189" i="10"/>
  <c r="T189" i="10"/>
  <c r="S189" i="10"/>
  <c r="V188" i="10"/>
  <c r="T188" i="10"/>
  <c r="S188" i="10"/>
  <c r="R188" i="10"/>
  <c r="Q188" i="10"/>
  <c r="P188" i="10"/>
  <c r="O188" i="10"/>
  <c r="V187" i="10"/>
  <c r="T187" i="10"/>
  <c r="S187" i="10"/>
  <c r="R187" i="10"/>
  <c r="Q187" i="10"/>
  <c r="P187" i="10"/>
  <c r="O187" i="10"/>
  <c r="V186" i="10"/>
  <c r="T186" i="10"/>
  <c r="S186" i="10"/>
  <c r="R186" i="10"/>
  <c r="Q186" i="10"/>
  <c r="P186" i="10"/>
  <c r="O186" i="10"/>
  <c r="V185" i="10"/>
  <c r="T185" i="10"/>
  <c r="S185" i="10"/>
  <c r="R185" i="10"/>
  <c r="Q185" i="10"/>
  <c r="P185" i="10"/>
  <c r="O185" i="10"/>
  <c r="V184" i="10"/>
  <c r="T184" i="10"/>
  <c r="S184" i="10"/>
  <c r="R184" i="10"/>
  <c r="Q184" i="10"/>
  <c r="P184" i="10"/>
  <c r="O184" i="10"/>
  <c r="V183" i="10"/>
  <c r="T183" i="10"/>
  <c r="S183" i="10"/>
  <c r="R183" i="10"/>
  <c r="Q183" i="10"/>
  <c r="P183" i="10"/>
  <c r="O183" i="10"/>
  <c r="V182" i="10"/>
  <c r="T182" i="10"/>
  <c r="S182" i="10"/>
  <c r="R182" i="10"/>
  <c r="Q182" i="10"/>
  <c r="P182" i="10"/>
  <c r="O182" i="10"/>
  <c r="V181" i="10"/>
  <c r="T181" i="10"/>
  <c r="S181" i="10"/>
  <c r="R181" i="10"/>
  <c r="Q181" i="10"/>
  <c r="P181" i="10"/>
  <c r="O181" i="10"/>
  <c r="V180" i="10"/>
  <c r="T180" i="10"/>
  <c r="S180" i="10"/>
  <c r="R180" i="10"/>
  <c r="Q180" i="10"/>
  <c r="P180" i="10"/>
  <c r="O180" i="10"/>
  <c r="V179" i="10"/>
  <c r="T179" i="10"/>
  <c r="S179" i="10"/>
  <c r="R179" i="10"/>
  <c r="Q179" i="10"/>
  <c r="P179" i="10"/>
  <c r="O179" i="10"/>
  <c r="V178" i="10"/>
  <c r="T178" i="10"/>
  <c r="S178" i="10"/>
  <c r="R178" i="10"/>
  <c r="Q178" i="10"/>
  <c r="P178" i="10"/>
  <c r="O178" i="10"/>
  <c r="V177" i="10"/>
  <c r="T177" i="10"/>
  <c r="S177" i="10"/>
  <c r="R177" i="10"/>
  <c r="Q177" i="10"/>
  <c r="P177" i="10"/>
  <c r="O177" i="10"/>
  <c r="V176" i="10"/>
  <c r="T176" i="10"/>
  <c r="S176" i="10"/>
  <c r="R176" i="10"/>
  <c r="Q176" i="10"/>
  <c r="P176" i="10"/>
  <c r="O176" i="10"/>
  <c r="V175" i="10"/>
  <c r="T175" i="10"/>
  <c r="S175" i="10"/>
  <c r="R175" i="10"/>
  <c r="Q175" i="10"/>
  <c r="P175" i="10"/>
  <c r="O175" i="10"/>
  <c r="V174" i="10"/>
  <c r="T174" i="10"/>
  <c r="S174" i="10"/>
  <c r="R174" i="10"/>
  <c r="Q174" i="10"/>
  <c r="P174" i="10"/>
  <c r="O174" i="10"/>
  <c r="V173" i="10"/>
  <c r="T173" i="10"/>
  <c r="S173" i="10"/>
  <c r="R173" i="10"/>
  <c r="Q173" i="10"/>
  <c r="P173" i="10"/>
  <c r="O173" i="10"/>
  <c r="V172" i="10"/>
  <c r="T172" i="10"/>
  <c r="S172" i="10"/>
  <c r="R172" i="10"/>
  <c r="Q172" i="10"/>
  <c r="P172" i="10"/>
  <c r="O172" i="10"/>
  <c r="V171" i="10"/>
  <c r="T171" i="10"/>
  <c r="S171" i="10"/>
  <c r="R171" i="10"/>
  <c r="Q171" i="10"/>
  <c r="P171" i="10"/>
  <c r="O171" i="10"/>
  <c r="V170" i="10"/>
  <c r="T170" i="10"/>
  <c r="S170" i="10"/>
  <c r="R170" i="10"/>
  <c r="Q170" i="10"/>
  <c r="P170" i="10"/>
  <c r="O170" i="10"/>
  <c r="V169" i="10"/>
  <c r="T169" i="10"/>
  <c r="S169" i="10"/>
  <c r="R169" i="10"/>
  <c r="Q169" i="10"/>
  <c r="P169" i="10"/>
  <c r="O169" i="10"/>
  <c r="V168" i="10"/>
  <c r="T168" i="10"/>
  <c r="S168" i="10"/>
  <c r="R168" i="10"/>
  <c r="Q168" i="10"/>
  <c r="P168" i="10"/>
  <c r="O168" i="10"/>
  <c r="V167" i="10"/>
  <c r="T167" i="10"/>
  <c r="S167" i="10"/>
  <c r="R167" i="10"/>
  <c r="Q167" i="10"/>
  <c r="P167" i="10"/>
  <c r="O167" i="10"/>
  <c r="V166" i="10"/>
  <c r="T166" i="10"/>
  <c r="S166" i="10"/>
  <c r="R166" i="10"/>
  <c r="Q166" i="10"/>
  <c r="P166" i="10"/>
  <c r="O166" i="10"/>
  <c r="V165" i="10"/>
  <c r="T165" i="10"/>
  <c r="S165" i="10"/>
  <c r="R165" i="10"/>
  <c r="Q165" i="10"/>
  <c r="P165" i="10"/>
  <c r="O165" i="10"/>
  <c r="V164" i="10"/>
  <c r="T164" i="10"/>
  <c r="S164" i="10"/>
  <c r="R164" i="10"/>
  <c r="Q164" i="10"/>
  <c r="P164" i="10"/>
  <c r="O164" i="10"/>
  <c r="V163" i="10"/>
  <c r="T163" i="10"/>
  <c r="S163" i="10"/>
  <c r="R163" i="10"/>
  <c r="Q163" i="10"/>
  <c r="P163" i="10"/>
  <c r="O163" i="10"/>
  <c r="V162" i="10"/>
  <c r="T162" i="10"/>
  <c r="S162" i="10"/>
  <c r="R162" i="10"/>
  <c r="Q162" i="10"/>
  <c r="P162" i="10"/>
  <c r="O162" i="10"/>
  <c r="V161" i="10"/>
  <c r="T161" i="10"/>
  <c r="S161" i="10"/>
  <c r="R161" i="10"/>
  <c r="Q161" i="10"/>
  <c r="P161" i="10"/>
  <c r="O161" i="10"/>
  <c r="V160" i="10"/>
  <c r="T160" i="10"/>
  <c r="S160" i="10"/>
  <c r="R160" i="10"/>
  <c r="Q160" i="10"/>
  <c r="P160" i="10"/>
  <c r="O160" i="10"/>
  <c r="V159" i="10"/>
  <c r="T159" i="10"/>
  <c r="S159" i="10"/>
  <c r="R159" i="10"/>
  <c r="Q159" i="10"/>
  <c r="P159" i="10"/>
  <c r="O159" i="10"/>
  <c r="V158" i="10"/>
  <c r="T158" i="10"/>
  <c r="S158" i="10"/>
  <c r="R158" i="10"/>
  <c r="Q158" i="10"/>
  <c r="P158" i="10"/>
  <c r="O158" i="10"/>
  <c r="V157" i="10"/>
  <c r="T157" i="10"/>
  <c r="S157" i="10"/>
  <c r="R157" i="10"/>
  <c r="Q157" i="10"/>
  <c r="P157" i="10"/>
  <c r="O157" i="10"/>
  <c r="V156" i="10"/>
  <c r="T156" i="10"/>
  <c r="S156" i="10"/>
  <c r="R156" i="10"/>
  <c r="Q156" i="10"/>
  <c r="P156" i="10"/>
  <c r="O156" i="10"/>
  <c r="V155" i="10"/>
  <c r="T155" i="10"/>
  <c r="S155" i="10"/>
  <c r="R155" i="10"/>
  <c r="Q155" i="10"/>
  <c r="P155" i="10"/>
  <c r="O155" i="10"/>
  <c r="V154" i="10"/>
  <c r="T154" i="10"/>
  <c r="S154" i="10"/>
  <c r="R154" i="10"/>
  <c r="Q154" i="10"/>
  <c r="P154" i="10"/>
  <c r="O154" i="10"/>
  <c r="V153" i="10"/>
  <c r="T153" i="10"/>
  <c r="S153" i="10"/>
  <c r="R153" i="10"/>
  <c r="Q153" i="10"/>
  <c r="P153" i="10"/>
  <c r="O153" i="10"/>
  <c r="V152" i="10"/>
  <c r="T152" i="10"/>
  <c r="S152" i="10"/>
  <c r="R152" i="10"/>
  <c r="Q152" i="10"/>
  <c r="P152" i="10"/>
  <c r="O152" i="10"/>
  <c r="V151" i="10"/>
  <c r="T151" i="10"/>
  <c r="S151" i="10"/>
  <c r="R151" i="10"/>
  <c r="Q151" i="10"/>
  <c r="P151" i="10"/>
  <c r="O151" i="10"/>
  <c r="V150" i="10"/>
  <c r="T150" i="10"/>
  <c r="S150" i="10"/>
  <c r="R150" i="10"/>
  <c r="Q150" i="10"/>
  <c r="P150" i="10"/>
  <c r="O150" i="10"/>
  <c r="V149" i="10"/>
  <c r="T149" i="10"/>
  <c r="S149" i="10"/>
  <c r="R149" i="10"/>
  <c r="Q149" i="10"/>
  <c r="P149" i="10"/>
  <c r="O149" i="10"/>
  <c r="V148" i="10"/>
  <c r="T148" i="10"/>
  <c r="S148" i="10"/>
  <c r="R148" i="10"/>
  <c r="Q148" i="10"/>
  <c r="P148" i="10"/>
  <c r="O148" i="10"/>
  <c r="V147" i="10"/>
  <c r="T147" i="10"/>
  <c r="S147" i="10"/>
  <c r="R147" i="10"/>
  <c r="Q147" i="10"/>
  <c r="P147" i="10"/>
  <c r="O147" i="10"/>
  <c r="V146" i="10"/>
  <c r="T146" i="10"/>
  <c r="S146" i="10"/>
  <c r="R146" i="10"/>
  <c r="Q146" i="10"/>
  <c r="P146" i="10"/>
  <c r="O146" i="10"/>
  <c r="V145" i="10"/>
  <c r="T145" i="10"/>
  <c r="S145" i="10"/>
  <c r="R145" i="10"/>
  <c r="Q145" i="10"/>
  <c r="P145" i="10"/>
  <c r="O145" i="10"/>
  <c r="V144" i="10"/>
  <c r="T144" i="10"/>
  <c r="S144" i="10"/>
  <c r="R144" i="10"/>
  <c r="Q144" i="10"/>
  <c r="P144" i="10"/>
  <c r="O144" i="10"/>
  <c r="V143" i="10"/>
  <c r="T143" i="10"/>
  <c r="S143" i="10"/>
  <c r="R143" i="10"/>
  <c r="Q143" i="10"/>
  <c r="P143" i="10"/>
  <c r="O143" i="10"/>
  <c r="V142" i="10"/>
  <c r="T142" i="10"/>
  <c r="S142" i="10"/>
  <c r="R142" i="10"/>
  <c r="Q142" i="10"/>
  <c r="P142" i="10"/>
  <c r="O142" i="10"/>
  <c r="V141" i="10"/>
  <c r="T141" i="10"/>
  <c r="S141" i="10"/>
  <c r="R141" i="10"/>
  <c r="Q141" i="10"/>
  <c r="P141" i="10"/>
  <c r="O141" i="10"/>
  <c r="V140" i="10"/>
  <c r="T140" i="10"/>
  <c r="S140" i="10"/>
  <c r="R140" i="10"/>
  <c r="Q140" i="10"/>
  <c r="P140" i="10"/>
  <c r="O140" i="10"/>
  <c r="V139" i="10"/>
  <c r="T139" i="10"/>
  <c r="S139" i="10"/>
  <c r="R139" i="10"/>
  <c r="Q139" i="10"/>
  <c r="P139" i="10"/>
  <c r="O139" i="10"/>
  <c r="V138" i="10"/>
  <c r="T138" i="10"/>
  <c r="S138" i="10"/>
  <c r="R138" i="10"/>
  <c r="Q138" i="10"/>
  <c r="P138" i="10"/>
  <c r="O138" i="10"/>
  <c r="V137" i="10"/>
  <c r="T137" i="10"/>
  <c r="S137" i="10"/>
  <c r="R137" i="10"/>
  <c r="Q137" i="10"/>
  <c r="P137" i="10"/>
  <c r="O137" i="10"/>
  <c r="V136" i="10"/>
  <c r="T136" i="10"/>
  <c r="S136" i="10"/>
  <c r="R136" i="10"/>
  <c r="Q136" i="10"/>
  <c r="P136" i="10"/>
  <c r="O136" i="10"/>
  <c r="V135" i="10"/>
  <c r="T135" i="10"/>
  <c r="S135" i="10"/>
  <c r="R135" i="10"/>
  <c r="Q135" i="10"/>
  <c r="P135" i="10"/>
  <c r="O135" i="10"/>
  <c r="V134" i="10"/>
  <c r="T134" i="10"/>
  <c r="S134" i="10"/>
  <c r="R134" i="10"/>
  <c r="Q134" i="10"/>
  <c r="P134" i="10"/>
  <c r="O134" i="10"/>
  <c r="V133" i="10"/>
  <c r="T133" i="10"/>
  <c r="S133" i="10"/>
  <c r="R133" i="10"/>
  <c r="Q133" i="10"/>
  <c r="P133" i="10"/>
  <c r="O133" i="10"/>
  <c r="V132" i="10"/>
  <c r="T132" i="10"/>
  <c r="S132" i="10"/>
  <c r="R132" i="10"/>
  <c r="Q132" i="10"/>
  <c r="P132" i="10"/>
  <c r="O132" i="10"/>
  <c r="V131" i="10"/>
  <c r="T131" i="10"/>
  <c r="S131" i="10"/>
  <c r="R131" i="10"/>
  <c r="Q131" i="10"/>
  <c r="P131" i="10"/>
  <c r="O131" i="10"/>
  <c r="V130" i="10"/>
  <c r="T130" i="10"/>
  <c r="S130" i="10"/>
  <c r="R130" i="10"/>
  <c r="Q130" i="10"/>
  <c r="P130" i="10"/>
  <c r="O130" i="10"/>
  <c r="V129" i="10"/>
  <c r="T129" i="10"/>
  <c r="S129" i="10"/>
  <c r="R129" i="10"/>
  <c r="Q129" i="10"/>
  <c r="P129" i="10"/>
  <c r="O129" i="10"/>
  <c r="V128" i="10"/>
  <c r="T128" i="10"/>
  <c r="S128" i="10"/>
  <c r="R128" i="10"/>
  <c r="Q128" i="10"/>
  <c r="P128" i="10"/>
  <c r="O128" i="10"/>
  <c r="V127" i="10"/>
  <c r="T127" i="10"/>
  <c r="S127" i="10"/>
  <c r="R127" i="10"/>
  <c r="Q127" i="10"/>
  <c r="P127" i="10"/>
  <c r="O127" i="10"/>
  <c r="V126" i="10"/>
  <c r="T126" i="10"/>
  <c r="S126" i="10"/>
  <c r="R126" i="10"/>
  <c r="Q126" i="10"/>
  <c r="P126" i="10"/>
  <c r="O126" i="10"/>
  <c r="V125" i="10"/>
  <c r="T125" i="10"/>
  <c r="S125" i="10"/>
  <c r="R125" i="10"/>
  <c r="Q125" i="10"/>
  <c r="P125" i="10"/>
  <c r="O125" i="10"/>
  <c r="V124" i="10"/>
  <c r="T124" i="10"/>
  <c r="S124" i="10"/>
  <c r="R124" i="10"/>
  <c r="Q124" i="10"/>
  <c r="P124" i="10"/>
  <c r="O124" i="10"/>
  <c r="V123" i="10"/>
  <c r="T123" i="10"/>
  <c r="S123" i="10"/>
  <c r="R123" i="10"/>
  <c r="Q123" i="10"/>
  <c r="P123" i="10"/>
  <c r="O123" i="10"/>
  <c r="V122" i="10"/>
  <c r="T122" i="10"/>
  <c r="S122" i="10"/>
  <c r="R122" i="10"/>
  <c r="Q122" i="10"/>
  <c r="P122" i="10"/>
  <c r="O122" i="10"/>
  <c r="V121" i="10"/>
  <c r="T121" i="10"/>
  <c r="S121" i="10"/>
  <c r="R121" i="10"/>
  <c r="Q121" i="10"/>
  <c r="P121" i="10"/>
  <c r="O121" i="10"/>
  <c r="V120" i="10"/>
  <c r="T120" i="10"/>
  <c r="S120" i="10"/>
  <c r="R120" i="10"/>
  <c r="Q120" i="10"/>
  <c r="P120" i="10"/>
  <c r="O120" i="10"/>
  <c r="V119" i="10"/>
  <c r="T119" i="10"/>
  <c r="S119" i="10"/>
  <c r="R119" i="10"/>
  <c r="Q119" i="10"/>
  <c r="P119" i="10"/>
  <c r="O119" i="10"/>
  <c r="V118" i="10"/>
  <c r="T118" i="10"/>
  <c r="S118" i="10"/>
  <c r="R118" i="10"/>
  <c r="Q118" i="10"/>
  <c r="P118" i="10"/>
  <c r="O118" i="10"/>
  <c r="V117" i="10"/>
  <c r="T117" i="10"/>
  <c r="S117" i="10"/>
  <c r="R117" i="10"/>
  <c r="Q117" i="10"/>
  <c r="P117" i="10"/>
  <c r="O117" i="10"/>
  <c r="V116" i="10"/>
  <c r="T116" i="10"/>
  <c r="S116" i="10"/>
  <c r="R116" i="10"/>
  <c r="Q116" i="10"/>
  <c r="P116" i="10"/>
  <c r="O116" i="10"/>
  <c r="V115" i="10"/>
  <c r="T115" i="10"/>
  <c r="S115" i="10"/>
  <c r="R115" i="10"/>
  <c r="Q115" i="10"/>
  <c r="P115" i="10"/>
  <c r="O115" i="10"/>
  <c r="V114" i="10"/>
  <c r="T114" i="10"/>
  <c r="S114" i="10"/>
  <c r="R114" i="10"/>
  <c r="Q114" i="10"/>
  <c r="P114" i="10"/>
  <c r="O114" i="10"/>
  <c r="V113" i="10"/>
  <c r="T113" i="10"/>
  <c r="S113" i="10"/>
  <c r="R113" i="10"/>
  <c r="Q113" i="10"/>
  <c r="P113" i="10"/>
  <c r="O113" i="10"/>
  <c r="V112" i="10"/>
  <c r="T112" i="10"/>
  <c r="S112" i="10"/>
  <c r="R112" i="10"/>
  <c r="Q112" i="10"/>
  <c r="P112" i="10"/>
  <c r="O112" i="10"/>
  <c r="V111" i="10"/>
  <c r="T111" i="10"/>
  <c r="S111" i="10"/>
  <c r="R111" i="10"/>
  <c r="Q111" i="10"/>
  <c r="P111" i="10"/>
  <c r="O111" i="10"/>
  <c r="V110" i="10"/>
  <c r="T110" i="10"/>
  <c r="S110" i="10"/>
  <c r="R110" i="10"/>
  <c r="Q110" i="10"/>
  <c r="P110" i="10"/>
  <c r="O110" i="10"/>
  <c r="V109" i="10"/>
  <c r="T109" i="10"/>
  <c r="S109" i="10"/>
  <c r="R109" i="10"/>
  <c r="Q109" i="10"/>
  <c r="P109" i="10"/>
  <c r="O109" i="10"/>
  <c r="V108" i="10"/>
  <c r="T108" i="10"/>
  <c r="S108" i="10"/>
  <c r="R108" i="10"/>
  <c r="Q108" i="10"/>
  <c r="P108" i="10"/>
  <c r="O108" i="10"/>
  <c r="V107" i="10"/>
  <c r="T107" i="10"/>
  <c r="S107" i="10"/>
  <c r="R107" i="10"/>
  <c r="Q107" i="10"/>
  <c r="P107" i="10"/>
  <c r="O107" i="10"/>
  <c r="V106" i="10"/>
  <c r="T106" i="10"/>
  <c r="S106" i="10"/>
  <c r="R106" i="10"/>
  <c r="Q106" i="10"/>
  <c r="P106" i="10"/>
  <c r="O106" i="10"/>
  <c r="V105" i="10"/>
  <c r="T105" i="10"/>
  <c r="S105" i="10"/>
  <c r="R105" i="10"/>
  <c r="Q105" i="10"/>
  <c r="P105" i="10"/>
  <c r="O105" i="10"/>
  <c r="V104" i="10"/>
  <c r="T104" i="10"/>
  <c r="S104" i="10"/>
  <c r="R104" i="10"/>
  <c r="Q104" i="10"/>
  <c r="P104" i="10"/>
  <c r="O104" i="10"/>
  <c r="V103" i="10"/>
  <c r="T103" i="10"/>
  <c r="S103" i="10"/>
  <c r="R103" i="10"/>
  <c r="Q103" i="10"/>
  <c r="P103" i="10"/>
  <c r="O103" i="10"/>
  <c r="V102" i="10"/>
  <c r="T102" i="10"/>
  <c r="S102" i="10"/>
  <c r="R102" i="10"/>
  <c r="Q102" i="10"/>
  <c r="P102" i="10"/>
  <c r="O102" i="10"/>
  <c r="V101" i="10"/>
  <c r="T101" i="10"/>
  <c r="S101" i="10"/>
  <c r="R101" i="10"/>
  <c r="Q101" i="10"/>
  <c r="P101" i="10"/>
  <c r="O101" i="10"/>
  <c r="V100" i="10"/>
  <c r="T100" i="10"/>
  <c r="S100" i="10"/>
  <c r="R100" i="10"/>
  <c r="Q100" i="10"/>
  <c r="P100" i="10"/>
  <c r="O100" i="10"/>
  <c r="V99" i="10"/>
  <c r="T99" i="10"/>
  <c r="S99" i="10"/>
  <c r="R99" i="10"/>
  <c r="Q99" i="10"/>
  <c r="P99" i="10"/>
  <c r="O99" i="10"/>
  <c r="V98" i="10"/>
  <c r="T98" i="10"/>
  <c r="S98" i="10"/>
  <c r="R98" i="10"/>
  <c r="Q98" i="10"/>
  <c r="P98" i="10"/>
  <c r="O98" i="10"/>
  <c r="V97" i="10"/>
  <c r="T97" i="10"/>
  <c r="S97" i="10"/>
  <c r="R97" i="10"/>
  <c r="Q97" i="10"/>
  <c r="P97" i="10"/>
  <c r="O97" i="10"/>
  <c r="V96" i="10"/>
  <c r="T96" i="10"/>
  <c r="S96" i="10"/>
  <c r="R96" i="10"/>
  <c r="Q96" i="10"/>
  <c r="P96" i="10"/>
  <c r="O96" i="10"/>
  <c r="V95" i="10"/>
  <c r="T95" i="10"/>
  <c r="S95" i="10"/>
  <c r="R95" i="10"/>
  <c r="Q95" i="10"/>
  <c r="P95" i="10"/>
  <c r="O95" i="10"/>
  <c r="V94" i="10"/>
  <c r="T94" i="10"/>
  <c r="S94" i="10"/>
  <c r="R94" i="10"/>
  <c r="Q94" i="10"/>
  <c r="P94" i="10"/>
  <c r="O94" i="10"/>
  <c r="V93" i="10"/>
  <c r="T93" i="10"/>
  <c r="S93" i="10"/>
  <c r="R93" i="10"/>
  <c r="Q93" i="10"/>
  <c r="P93" i="10"/>
  <c r="O93" i="10"/>
  <c r="V92" i="10"/>
  <c r="T92" i="10"/>
  <c r="S92" i="10"/>
  <c r="R92" i="10"/>
  <c r="Q92" i="10"/>
  <c r="P92" i="10"/>
  <c r="O92" i="10"/>
  <c r="V91" i="10"/>
  <c r="T91" i="10"/>
  <c r="S91" i="10"/>
  <c r="R91" i="10"/>
  <c r="Q91" i="10"/>
  <c r="P91" i="10"/>
  <c r="O91" i="10"/>
  <c r="V90" i="10"/>
  <c r="T90" i="10"/>
  <c r="S90" i="10"/>
  <c r="R90" i="10"/>
  <c r="Q90" i="10"/>
  <c r="P90" i="10"/>
  <c r="O90" i="10"/>
  <c r="V89" i="10"/>
  <c r="T89" i="10"/>
  <c r="S89" i="10"/>
  <c r="R89" i="10"/>
  <c r="Q89" i="10"/>
  <c r="P89" i="10"/>
  <c r="O89" i="10"/>
  <c r="V88" i="10"/>
  <c r="T88" i="10"/>
  <c r="S88" i="10"/>
  <c r="R88" i="10"/>
  <c r="Q88" i="10"/>
  <c r="P88" i="10"/>
  <c r="O88" i="10"/>
  <c r="V87" i="10"/>
  <c r="T87" i="10"/>
  <c r="S87" i="10"/>
  <c r="R87" i="10"/>
  <c r="Q87" i="10"/>
  <c r="P87" i="10"/>
  <c r="O87" i="10"/>
  <c r="V86" i="10"/>
  <c r="T86" i="10"/>
  <c r="S86" i="10"/>
  <c r="R86" i="10"/>
  <c r="Q86" i="10"/>
  <c r="P86" i="10"/>
  <c r="O86" i="10"/>
  <c r="V85" i="10"/>
  <c r="T85" i="10"/>
  <c r="S85" i="10"/>
  <c r="R85" i="10"/>
  <c r="Q85" i="10"/>
  <c r="P85" i="10"/>
  <c r="O85" i="10"/>
  <c r="V84" i="10"/>
  <c r="T84" i="10"/>
  <c r="S84" i="10"/>
  <c r="R84" i="10"/>
  <c r="Q84" i="10"/>
  <c r="P84" i="10"/>
  <c r="O84" i="10"/>
  <c r="V83" i="10"/>
  <c r="T83" i="10"/>
  <c r="S83" i="10"/>
  <c r="R83" i="10"/>
  <c r="Q83" i="10"/>
  <c r="P83" i="10"/>
  <c r="O83" i="10"/>
  <c r="V82" i="10"/>
  <c r="T82" i="10"/>
  <c r="S82" i="10"/>
  <c r="R82" i="10"/>
  <c r="Q82" i="10"/>
  <c r="P82" i="10"/>
  <c r="O82" i="10"/>
  <c r="V81" i="10"/>
  <c r="T81" i="10"/>
  <c r="S81" i="10"/>
  <c r="R81" i="10"/>
  <c r="Q81" i="10"/>
  <c r="P81" i="10"/>
  <c r="O81" i="10"/>
  <c r="V80" i="10"/>
  <c r="T80" i="10"/>
  <c r="S80" i="10"/>
  <c r="R80" i="10"/>
  <c r="Q80" i="10"/>
  <c r="P80" i="10"/>
  <c r="O80" i="10"/>
  <c r="V79" i="10"/>
  <c r="T79" i="10"/>
  <c r="S79" i="10"/>
  <c r="R79" i="10"/>
  <c r="Q79" i="10"/>
  <c r="P79" i="10"/>
  <c r="O79" i="10"/>
  <c r="V78" i="10"/>
  <c r="T78" i="10"/>
  <c r="S78" i="10"/>
  <c r="R78" i="10"/>
  <c r="Q78" i="10"/>
  <c r="P78" i="10"/>
  <c r="O78" i="10"/>
  <c r="V77" i="10"/>
  <c r="T77" i="10"/>
  <c r="S77" i="10"/>
  <c r="R77" i="10"/>
  <c r="Q77" i="10"/>
  <c r="P77" i="10"/>
  <c r="O77" i="10"/>
  <c r="V76" i="10"/>
  <c r="T76" i="10"/>
  <c r="S76" i="10"/>
  <c r="R76" i="10"/>
  <c r="Q76" i="10"/>
  <c r="P76" i="10"/>
  <c r="O76" i="10"/>
  <c r="V75" i="10"/>
  <c r="T75" i="10"/>
  <c r="S75" i="10"/>
  <c r="R75" i="10"/>
  <c r="Q75" i="10"/>
  <c r="P75" i="10"/>
  <c r="O75" i="10"/>
  <c r="V74" i="10"/>
  <c r="T74" i="10"/>
  <c r="S74" i="10"/>
  <c r="R74" i="10"/>
  <c r="Q74" i="10"/>
  <c r="P74" i="10"/>
  <c r="O74" i="10"/>
  <c r="V73" i="10"/>
  <c r="T73" i="10"/>
  <c r="S73" i="10"/>
  <c r="R73" i="10"/>
  <c r="Q73" i="10"/>
  <c r="P73" i="10"/>
  <c r="O73" i="10"/>
  <c r="V72" i="10"/>
  <c r="T72" i="10"/>
  <c r="S72" i="10"/>
  <c r="R72" i="10"/>
  <c r="Q72" i="10"/>
  <c r="P72" i="10"/>
  <c r="O72" i="10"/>
  <c r="V71" i="10"/>
  <c r="T71" i="10"/>
  <c r="S71" i="10"/>
  <c r="R71" i="10"/>
  <c r="Q71" i="10"/>
  <c r="P71" i="10"/>
  <c r="O71" i="10"/>
  <c r="V70" i="10"/>
  <c r="T70" i="10"/>
  <c r="S70" i="10"/>
  <c r="R70" i="10"/>
  <c r="Q70" i="10"/>
  <c r="P70" i="10"/>
  <c r="O70" i="10"/>
  <c r="V69" i="10"/>
  <c r="T69" i="10"/>
  <c r="S69" i="10"/>
  <c r="R69" i="10"/>
  <c r="Q69" i="10"/>
  <c r="P69" i="10"/>
  <c r="O69" i="10"/>
  <c r="V68" i="10"/>
  <c r="T68" i="10"/>
  <c r="S68" i="10"/>
  <c r="R68" i="10"/>
  <c r="Q68" i="10"/>
  <c r="P68" i="10"/>
  <c r="O68" i="10"/>
  <c r="V67" i="10"/>
  <c r="T67" i="10"/>
  <c r="S67" i="10"/>
  <c r="R67" i="10"/>
  <c r="Q67" i="10"/>
  <c r="P67" i="10"/>
  <c r="O67" i="10"/>
  <c r="V66" i="10"/>
  <c r="T66" i="10"/>
  <c r="S66" i="10"/>
  <c r="R66" i="10"/>
  <c r="Q66" i="10"/>
  <c r="P66" i="10"/>
  <c r="O66" i="10"/>
  <c r="V65" i="10"/>
  <c r="T65" i="10"/>
  <c r="S65" i="10"/>
  <c r="R65" i="10"/>
  <c r="Q65" i="10"/>
  <c r="P65" i="10"/>
  <c r="O65" i="10"/>
  <c r="V64" i="10"/>
  <c r="T64" i="10"/>
  <c r="S64" i="10"/>
  <c r="R64" i="10"/>
  <c r="Q64" i="10"/>
  <c r="P64" i="10"/>
  <c r="O64" i="10"/>
  <c r="V63" i="10"/>
  <c r="T63" i="10"/>
  <c r="S63" i="10"/>
  <c r="R63" i="10"/>
  <c r="Q63" i="10"/>
  <c r="P63" i="10"/>
  <c r="O63" i="10"/>
  <c r="V62" i="10"/>
  <c r="T62" i="10"/>
  <c r="S62" i="10"/>
  <c r="R62" i="10"/>
  <c r="Q62" i="10"/>
  <c r="P62" i="10"/>
  <c r="O62" i="10"/>
  <c r="V61" i="10"/>
  <c r="T61" i="10"/>
  <c r="S61" i="10"/>
  <c r="R61" i="10"/>
  <c r="Q61" i="10"/>
  <c r="P61" i="10"/>
  <c r="O61" i="10"/>
  <c r="V60" i="10"/>
  <c r="T60" i="10"/>
  <c r="S60" i="10"/>
  <c r="R60" i="10"/>
  <c r="Q60" i="10"/>
  <c r="P60" i="10"/>
  <c r="O60" i="10"/>
  <c r="V59" i="10"/>
  <c r="T59" i="10"/>
  <c r="S59" i="10"/>
  <c r="R59" i="10"/>
  <c r="Q59" i="10"/>
  <c r="P59" i="10"/>
  <c r="O59" i="10"/>
  <c r="V58" i="10"/>
  <c r="T58" i="10"/>
  <c r="S58" i="10"/>
  <c r="R58" i="10"/>
  <c r="Q58" i="10"/>
  <c r="P58" i="10"/>
  <c r="O58" i="10"/>
  <c r="V57" i="10"/>
  <c r="T57" i="10"/>
  <c r="S57" i="10"/>
  <c r="R57" i="10"/>
  <c r="Q57" i="10"/>
  <c r="P57" i="10"/>
  <c r="O57" i="10"/>
  <c r="V56" i="10"/>
  <c r="T56" i="10"/>
  <c r="S56" i="10"/>
  <c r="R56" i="10"/>
  <c r="Q56" i="10"/>
  <c r="P56" i="10"/>
  <c r="O56" i="10"/>
  <c r="V55" i="10"/>
  <c r="T55" i="10"/>
  <c r="S55" i="10"/>
  <c r="R55" i="10"/>
  <c r="Q55" i="10"/>
  <c r="P55" i="10"/>
  <c r="O55" i="10"/>
  <c r="V54" i="10"/>
  <c r="T54" i="10"/>
  <c r="S54" i="10"/>
  <c r="R54" i="10"/>
  <c r="Q54" i="10"/>
  <c r="P54" i="10"/>
  <c r="O54" i="10"/>
  <c r="V53" i="10"/>
  <c r="T53" i="10"/>
  <c r="S53" i="10"/>
  <c r="R53" i="10"/>
  <c r="Q53" i="10"/>
  <c r="P53" i="10"/>
  <c r="O53" i="10"/>
  <c r="V52" i="10"/>
  <c r="T52" i="10"/>
  <c r="S52" i="10"/>
  <c r="R52" i="10"/>
  <c r="Q52" i="10"/>
  <c r="P52" i="10"/>
  <c r="O52" i="10"/>
  <c r="V51" i="10"/>
  <c r="T51" i="10"/>
  <c r="S51" i="10"/>
  <c r="R51" i="10"/>
  <c r="Q51" i="10"/>
  <c r="P51" i="10"/>
  <c r="O51" i="10"/>
  <c r="V50" i="10"/>
  <c r="T50" i="10"/>
  <c r="S50" i="10"/>
  <c r="R50" i="10"/>
  <c r="Q50" i="10"/>
  <c r="P50" i="10"/>
  <c r="O50" i="10"/>
  <c r="V49" i="10"/>
  <c r="T49" i="10"/>
  <c r="S49" i="10"/>
  <c r="R49" i="10"/>
  <c r="Q49" i="10"/>
  <c r="P49" i="10"/>
  <c r="O49" i="10"/>
  <c r="V48" i="10"/>
  <c r="T48" i="10"/>
  <c r="S48" i="10"/>
  <c r="R48" i="10"/>
  <c r="Q48" i="10"/>
  <c r="P48" i="10"/>
  <c r="O48" i="10"/>
  <c r="V47" i="10"/>
  <c r="T47" i="10"/>
  <c r="S47" i="10"/>
  <c r="R47" i="10"/>
  <c r="Q47" i="10"/>
  <c r="P47" i="10"/>
  <c r="O47" i="10"/>
  <c r="V46" i="10"/>
  <c r="T46" i="10"/>
  <c r="S46" i="10"/>
  <c r="R46" i="10"/>
  <c r="Q46" i="10"/>
  <c r="P46" i="10"/>
  <c r="O46" i="10"/>
  <c r="V45" i="10"/>
  <c r="T45" i="10"/>
  <c r="S45" i="10"/>
  <c r="R45" i="10"/>
  <c r="Q45" i="10"/>
  <c r="P45" i="10"/>
  <c r="O45" i="10"/>
  <c r="V44" i="10"/>
  <c r="T44" i="10"/>
  <c r="S44" i="10"/>
  <c r="R44" i="10"/>
  <c r="Q44" i="10"/>
  <c r="P44" i="10"/>
  <c r="O44" i="10"/>
  <c r="N44" i="10"/>
  <c r="M44" i="10"/>
  <c r="L44" i="10"/>
  <c r="K44" i="10"/>
  <c r="V43" i="10"/>
  <c r="T43" i="10"/>
  <c r="S43" i="10"/>
  <c r="R43" i="10"/>
  <c r="Q43" i="10"/>
  <c r="P43" i="10"/>
  <c r="O43" i="10"/>
  <c r="N43" i="10"/>
  <c r="M43" i="10"/>
  <c r="L43" i="10"/>
  <c r="K43" i="10"/>
  <c r="V42" i="10"/>
  <c r="T42" i="10"/>
  <c r="S42" i="10"/>
  <c r="R42" i="10"/>
  <c r="Q42" i="10"/>
  <c r="P42" i="10"/>
  <c r="O42" i="10"/>
  <c r="N42" i="10"/>
  <c r="M42" i="10"/>
  <c r="L42" i="10"/>
  <c r="K42" i="10"/>
  <c r="V41" i="10"/>
  <c r="T41" i="10"/>
  <c r="S41" i="10"/>
  <c r="R41" i="10"/>
  <c r="Q41" i="10"/>
  <c r="P41" i="10"/>
  <c r="O41" i="10"/>
  <c r="N41" i="10"/>
  <c r="M41" i="10"/>
  <c r="L41" i="10"/>
  <c r="K41" i="10"/>
  <c r="V40" i="10"/>
  <c r="T40" i="10"/>
  <c r="S40" i="10"/>
  <c r="R40" i="10"/>
  <c r="Q40" i="10"/>
  <c r="P40" i="10"/>
  <c r="O40" i="10"/>
  <c r="N40" i="10"/>
  <c r="M40" i="10"/>
  <c r="L40" i="10"/>
  <c r="K40" i="10"/>
  <c r="V39" i="10"/>
  <c r="T39" i="10"/>
  <c r="S39" i="10"/>
  <c r="R39" i="10"/>
  <c r="Q39" i="10"/>
  <c r="P39" i="10"/>
  <c r="O39" i="10"/>
  <c r="N39" i="10"/>
  <c r="M39" i="10"/>
  <c r="L39" i="10"/>
  <c r="K39" i="10"/>
  <c r="V38" i="10"/>
  <c r="T38" i="10"/>
  <c r="S38" i="10"/>
  <c r="R38" i="10"/>
  <c r="Q38" i="10"/>
  <c r="P38" i="10"/>
  <c r="O38" i="10"/>
  <c r="N38" i="10"/>
  <c r="M38" i="10"/>
  <c r="L38" i="10"/>
  <c r="K38" i="10"/>
  <c r="V37" i="10"/>
  <c r="T37" i="10"/>
  <c r="S37" i="10"/>
  <c r="R37" i="10"/>
  <c r="Q37" i="10"/>
  <c r="P37" i="10"/>
  <c r="O37" i="10"/>
  <c r="N37" i="10"/>
  <c r="M37" i="10"/>
  <c r="L37" i="10"/>
  <c r="K37" i="10"/>
  <c r="V36" i="10"/>
  <c r="T36" i="10"/>
  <c r="S36" i="10"/>
  <c r="R36" i="10"/>
  <c r="Q36" i="10"/>
  <c r="P36" i="10"/>
  <c r="O36" i="10"/>
  <c r="N36" i="10"/>
  <c r="M36" i="10"/>
  <c r="L36" i="10"/>
  <c r="K36" i="10"/>
  <c r="V35" i="10"/>
  <c r="T35" i="10"/>
  <c r="S35" i="10"/>
  <c r="R35" i="10"/>
  <c r="Q35" i="10"/>
  <c r="P35" i="10"/>
  <c r="O35" i="10"/>
  <c r="N35" i="10"/>
  <c r="M35" i="10"/>
  <c r="L35" i="10"/>
  <c r="K35" i="10"/>
  <c r="V34" i="10"/>
  <c r="T34" i="10"/>
  <c r="S34" i="10"/>
  <c r="R34" i="10"/>
  <c r="Q34" i="10"/>
  <c r="P34" i="10"/>
  <c r="O34" i="10"/>
  <c r="N34" i="10"/>
  <c r="M34" i="10"/>
  <c r="L34" i="10"/>
  <c r="K34" i="10"/>
  <c r="V33" i="10"/>
  <c r="T33" i="10"/>
  <c r="S33" i="10"/>
  <c r="R33" i="10"/>
  <c r="Q33" i="10"/>
  <c r="P33" i="10"/>
  <c r="O33" i="10"/>
  <c r="N33" i="10"/>
  <c r="M33" i="10"/>
  <c r="L33" i="10"/>
  <c r="K33" i="10"/>
  <c r="V32" i="10"/>
  <c r="T32" i="10"/>
  <c r="S32" i="10"/>
  <c r="R32" i="10"/>
  <c r="Q32" i="10"/>
  <c r="P32" i="10"/>
  <c r="O32" i="10"/>
  <c r="N32" i="10"/>
  <c r="M32" i="10"/>
  <c r="L32" i="10"/>
  <c r="K32" i="10"/>
  <c r="V31" i="10"/>
  <c r="T31" i="10"/>
  <c r="S31" i="10"/>
  <c r="R31" i="10"/>
  <c r="Q31" i="10"/>
  <c r="P31" i="10"/>
  <c r="O31" i="10"/>
  <c r="N31" i="10"/>
  <c r="M31" i="10"/>
  <c r="L31" i="10"/>
  <c r="K31" i="10"/>
  <c r="V30" i="10"/>
  <c r="T30" i="10"/>
  <c r="S30" i="10"/>
  <c r="R30" i="10"/>
  <c r="Q30" i="10"/>
  <c r="P30" i="10"/>
  <c r="O30" i="10"/>
  <c r="N30" i="10"/>
  <c r="M30" i="10"/>
  <c r="L30" i="10"/>
  <c r="K30" i="10"/>
  <c r="V29" i="10"/>
  <c r="T29" i="10"/>
  <c r="S29" i="10"/>
  <c r="R29" i="10"/>
  <c r="Q29" i="10"/>
  <c r="P29" i="10"/>
  <c r="O29" i="10"/>
  <c r="N29" i="10"/>
  <c r="M29" i="10"/>
  <c r="L29" i="10"/>
  <c r="K29" i="10"/>
  <c r="V28" i="10"/>
  <c r="T28" i="10"/>
  <c r="S28" i="10"/>
  <c r="R28" i="10"/>
  <c r="Q28" i="10"/>
  <c r="P28" i="10"/>
  <c r="O28" i="10"/>
  <c r="N28" i="10"/>
  <c r="M28" i="10"/>
  <c r="L28" i="10"/>
  <c r="K28" i="10"/>
  <c r="V27" i="10"/>
  <c r="T27" i="10"/>
  <c r="S27" i="10"/>
  <c r="R27" i="10"/>
  <c r="Q27" i="10"/>
  <c r="P27" i="10"/>
  <c r="O27" i="10"/>
  <c r="N27" i="10"/>
  <c r="M27" i="10"/>
  <c r="L27" i="10"/>
  <c r="K27" i="10"/>
  <c r="V26" i="10"/>
  <c r="T26" i="10"/>
  <c r="S26" i="10"/>
  <c r="R26" i="10"/>
  <c r="Q26" i="10"/>
  <c r="P26" i="10"/>
  <c r="O26" i="10"/>
  <c r="N26" i="10"/>
  <c r="M26" i="10"/>
  <c r="L26" i="10"/>
  <c r="K26" i="10"/>
  <c r="V25" i="10"/>
  <c r="T25" i="10"/>
  <c r="S25" i="10"/>
  <c r="R25" i="10"/>
  <c r="Q25" i="10"/>
  <c r="P25" i="10"/>
  <c r="O25" i="10"/>
  <c r="N25" i="10"/>
  <c r="M25" i="10"/>
  <c r="L25" i="10"/>
  <c r="K25" i="10"/>
  <c r="V24" i="10"/>
  <c r="T24" i="10"/>
  <c r="S24" i="10"/>
  <c r="R24" i="10"/>
  <c r="Q24" i="10"/>
  <c r="P24" i="10"/>
  <c r="O24" i="10"/>
  <c r="N24" i="10"/>
  <c r="M24" i="10"/>
  <c r="L24" i="10"/>
  <c r="K24" i="10"/>
  <c r="V23" i="10"/>
  <c r="T23" i="10"/>
  <c r="S23" i="10"/>
  <c r="R23" i="10"/>
  <c r="Q23" i="10"/>
  <c r="P23" i="10"/>
  <c r="O23" i="10"/>
  <c r="N23" i="10"/>
  <c r="M23" i="10"/>
  <c r="L23" i="10"/>
  <c r="K23" i="10"/>
  <c r="F23" i="10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V22" i="10"/>
  <c r="T22" i="10"/>
  <c r="S22" i="10"/>
  <c r="R22" i="10"/>
  <c r="Q22" i="10"/>
  <c r="P22" i="10"/>
  <c r="O22" i="10"/>
  <c r="N22" i="10"/>
  <c r="M22" i="10"/>
  <c r="L22" i="10"/>
  <c r="K22" i="10"/>
  <c r="V21" i="10"/>
  <c r="T21" i="10"/>
  <c r="S21" i="10"/>
  <c r="R21" i="10"/>
  <c r="Q21" i="10"/>
  <c r="P21" i="10"/>
  <c r="O21" i="10"/>
  <c r="N21" i="10"/>
  <c r="M21" i="10"/>
  <c r="L21" i="10"/>
  <c r="K21" i="10"/>
  <c r="V20" i="10"/>
  <c r="T20" i="10"/>
  <c r="S20" i="10"/>
  <c r="R20" i="10"/>
  <c r="Q20" i="10"/>
  <c r="P20" i="10"/>
  <c r="O20" i="10"/>
  <c r="N20" i="10"/>
  <c r="M20" i="10"/>
  <c r="L20" i="10"/>
  <c r="K20" i="10"/>
  <c r="V19" i="10"/>
  <c r="T19" i="10"/>
  <c r="S19" i="10"/>
  <c r="R19" i="10"/>
  <c r="Q19" i="10"/>
  <c r="P19" i="10"/>
  <c r="O19" i="10"/>
  <c r="N19" i="10"/>
  <c r="M19" i="10"/>
  <c r="L19" i="10"/>
  <c r="K19" i="10"/>
  <c r="V18" i="10"/>
  <c r="T18" i="10"/>
  <c r="S18" i="10"/>
  <c r="R18" i="10"/>
  <c r="Q18" i="10"/>
  <c r="P18" i="10"/>
  <c r="O18" i="10"/>
  <c r="N18" i="10"/>
  <c r="M18" i="10"/>
  <c r="L18" i="10"/>
  <c r="K18" i="10"/>
  <c r="V17" i="10"/>
  <c r="T17" i="10"/>
  <c r="S17" i="10"/>
  <c r="R17" i="10"/>
  <c r="Q17" i="10"/>
  <c r="P17" i="10"/>
  <c r="O17" i="10"/>
  <c r="N17" i="10"/>
  <c r="M17" i="10"/>
  <c r="L17" i="10"/>
  <c r="K17" i="10"/>
  <c r="V16" i="10"/>
  <c r="T16" i="10"/>
  <c r="S16" i="10"/>
  <c r="R16" i="10"/>
  <c r="Q16" i="10"/>
  <c r="P16" i="10"/>
  <c r="O16" i="10"/>
  <c r="N16" i="10"/>
  <c r="M16" i="10"/>
  <c r="L16" i="10"/>
  <c r="K16" i="10"/>
  <c r="V15" i="10"/>
  <c r="T15" i="10"/>
  <c r="S15" i="10"/>
  <c r="R15" i="10"/>
  <c r="Q15" i="10"/>
  <c r="P15" i="10"/>
  <c r="O15" i="10"/>
  <c r="N15" i="10"/>
  <c r="M15" i="10"/>
  <c r="L15" i="10"/>
  <c r="K15" i="10"/>
  <c r="V14" i="10"/>
  <c r="T14" i="10"/>
  <c r="S14" i="10"/>
  <c r="R14" i="10"/>
  <c r="Q14" i="10"/>
  <c r="P14" i="10"/>
  <c r="O14" i="10"/>
  <c r="N14" i="10"/>
  <c r="M14" i="10"/>
  <c r="L14" i="10"/>
  <c r="K14" i="10"/>
  <c r="V13" i="10"/>
  <c r="T13" i="10"/>
  <c r="S13" i="10"/>
  <c r="R13" i="10"/>
  <c r="Q13" i="10"/>
  <c r="P13" i="10"/>
  <c r="O13" i="10"/>
  <c r="N13" i="10"/>
  <c r="M13" i="10"/>
  <c r="L13" i="10"/>
  <c r="K13" i="10"/>
  <c r="V12" i="10"/>
  <c r="T12" i="10"/>
  <c r="S12" i="10"/>
  <c r="R12" i="10"/>
  <c r="Q12" i="10"/>
  <c r="P12" i="10"/>
  <c r="O12" i="10"/>
  <c r="N12" i="10"/>
  <c r="M12" i="10"/>
  <c r="L12" i="10"/>
  <c r="K12" i="10"/>
  <c r="F12" i="10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V11" i="10"/>
  <c r="T11" i="10"/>
  <c r="S11" i="10"/>
  <c r="R11" i="10"/>
  <c r="Q11" i="10"/>
  <c r="P11" i="10"/>
  <c r="O11" i="10"/>
  <c r="N11" i="10"/>
  <c r="M11" i="10"/>
  <c r="L11" i="10"/>
  <c r="K11" i="10"/>
  <c r="V10" i="10"/>
  <c r="T10" i="10"/>
  <c r="S10" i="10"/>
  <c r="R10" i="10"/>
  <c r="Q10" i="10"/>
  <c r="P10" i="10"/>
  <c r="O10" i="10"/>
  <c r="N10" i="10"/>
  <c r="M10" i="10"/>
  <c r="L10" i="10"/>
  <c r="K10" i="10"/>
  <c r="F10" i="10"/>
  <c r="F11" i="10" s="1"/>
  <c r="V9" i="10"/>
  <c r="T9" i="10"/>
  <c r="S9" i="10"/>
  <c r="R9" i="10"/>
  <c r="Q9" i="10"/>
  <c r="P9" i="10"/>
  <c r="O9" i="10"/>
  <c r="N9" i="10"/>
  <c r="M9" i="10"/>
  <c r="L9" i="10"/>
  <c r="K9" i="10"/>
  <c r="F9" i="10"/>
  <c r="B9" i="10"/>
  <c r="B10" i="10" s="1"/>
  <c r="B11" i="10" s="1"/>
  <c r="B12" i="10" s="1"/>
  <c r="B13" i="10" s="1"/>
  <c r="V8" i="10"/>
  <c r="T8" i="10"/>
  <c r="S8" i="10"/>
  <c r="R8" i="10"/>
  <c r="Q8" i="10"/>
  <c r="P8" i="10"/>
  <c r="O8" i="10"/>
  <c r="N8" i="10"/>
  <c r="M8" i="10"/>
  <c r="L8" i="10"/>
  <c r="K8" i="10"/>
  <c r="U5" i="10"/>
  <c r="S5" i="10"/>
  <c r="Q5" i="10"/>
  <c r="O5" i="10"/>
  <c r="M5" i="10"/>
  <c r="K5" i="10"/>
  <c r="O255" i="9"/>
  <c r="O256" i="9" s="1"/>
  <c r="O257" i="9" s="1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O270" i="9" s="1"/>
  <c r="O271" i="9" s="1"/>
  <c r="O272" i="9" s="1"/>
  <c r="O273" i="9" s="1"/>
  <c r="O274" i="9" s="1"/>
  <c r="O275" i="9" s="1"/>
  <c r="O276" i="9" s="1"/>
  <c r="O277" i="9" s="1"/>
  <c r="O278" i="9" s="1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1" i="9" s="1"/>
  <c r="O292" i="9" s="1"/>
  <c r="O293" i="9" s="1"/>
  <c r="O294" i="9" s="1"/>
  <c r="O295" i="9" s="1"/>
  <c r="O296" i="9" s="1"/>
  <c r="O297" i="9" s="1"/>
  <c r="O298" i="9" s="1"/>
  <c r="O299" i="9" s="1"/>
  <c r="O300" i="9" s="1"/>
  <c r="O301" i="9" s="1"/>
  <c r="O302" i="9" s="1"/>
  <c r="O303" i="9" s="1"/>
  <c r="O304" i="9" s="1"/>
  <c r="O305" i="9" s="1"/>
  <c r="O306" i="9" s="1"/>
  <c r="O307" i="9" s="1"/>
  <c r="O308" i="9" s="1"/>
  <c r="O247" i="9"/>
  <c r="O248" i="9" s="1"/>
  <c r="O249" i="9" s="1"/>
  <c r="O250" i="9" s="1"/>
  <c r="O251" i="9" s="1"/>
  <c r="O252" i="9" s="1"/>
  <c r="O253" i="9" s="1"/>
  <c r="O254" i="9" s="1"/>
  <c r="O246" i="9"/>
  <c r="F246" i="9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A246" i="9"/>
  <c r="A247" i="9" s="1"/>
  <c r="B247" i="9" s="1"/>
  <c r="C345" i="15" s="1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F85" i="9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O77" i="9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O242" i="9" s="1"/>
  <c r="O243" i="9" s="1"/>
  <c r="O244" i="9" s="1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 s="1"/>
  <c r="F68" i="9"/>
  <c r="E68" i="9"/>
  <c r="F67" i="9"/>
  <c r="E67" i="9"/>
  <c r="F66" i="9"/>
  <c r="E66" i="9"/>
  <c r="F65" i="9"/>
  <c r="E65" i="9" s="1"/>
  <c r="F64" i="9"/>
  <c r="E64" i="9"/>
  <c r="F63" i="9"/>
  <c r="E63" i="9"/>
  <c r="F62" i="9"/>
  <c r="E62" i="9"/>
  <c r="F61" i="9"/>
  <c r="E61" i="9" s="1"/>
  <c r="B61" i="9"/>
  <c r="C159" i="15" s="1"/>
  <c r="F60" i="9"/>
  <c r="E60" i="9"/>
  <c r="B60" i="9"/>
  <c r="C158" i="15" s="1"/>
  <c r="F59" i="9"/>
  <c r="E59" i="9"/>
  <c r="B59" i="9"/>
  <c r="C157" i="15" s="1"/>
  <c r="F58" i="9"/>
  <c r="B58" i="9" s="1"/>
  <c r="C156" i="15" s="1"/>
  <c r="E58" i="9"/>
  <c r="F57" i="9"/>
  <c r="E57" i="9" s="1"/>
  <c r="B57" i="9"/>
  <c r="C155" i="15" s="1"/>
  <c r="F56" i="9"/>
  <c r="E56" i="9"/>
  <c r="B56" i="9"/>
  <c r="C154" i="15" s="1"/>
  <c r="F55" i="9"/>
  <c r="E55" i="9"/>
  <c r="B55" i="9"/>
  <c r="C153" i="15" s="1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F54" i="9"/>
  <c r="B54" i="9" s="1"/>
  <c r="C152" i="15" s="1"/>
  <c r="E54" i="9"/>
  <c r="A54" i="9"/>
  <c r="A55" i="9" s="1"/>
  <c r="A56" i="9" s="1"/>
  <c r="A57" i="9" s="1"/>
  <c r="A58" i="9" s="1"/>
  <c r="A59" i="9" s="1"/>
  <c r="A60" i="9" s="1"/>
  <c r="A61" i="9" s="1"/>
  <c r="A62" i="9" s="1"/>
  <c r="E53" i="9"/>
  <c r="B53" i="9"/>
  <c r="C151" i="15" s="1"/>
  <c r="F8" i="9"/>
  <c r="E7" i="9"/>
  <c r="O6" i="9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F6" i="9"/>
  <c r="F7" i="9" s="1"/>
  <c r="E6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R6" i="8"/>
  <c r="W105" i="15" s="1"/>
  <c r="Q5" i="8"/>
  <c r="O5" i="8"/>
  <c r="M5" i="8"/>
  <c r="K5" i="8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G17" i="7"/>
  <c r="C17" i="7"/>
  <c r="E16" i="7"/>
  <c r="C16" i="7"/>
  <c r="C15" i="7"/>
  <c r="C14" i="7"/>
  <c r="C13" i="7"/>
  <c r="C12" i="7"/>
  <c r="C11" i="7"/>
  <c r="C10" i="7"/>
  <c r="C9" i="7"/>
  <c r="C8" i="7"/>
  <c r="C7" i="7"/>
  <c r="C6" i="7"/>
  <c r="G4" i="7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AU26" i="6"/>
  <c r="AT26" i="6"/>
  <c r="AS26" i="6"/>
  <c r="C26" i="6"/>
  <c r="AU25" i="6"/>
  <c r="AT25" i="6"/>
  <c r="AS25" i="6"/>
  <c r="C25" i="6"/>
  <c r="AU24" i="6"/>
  <c r="AT24" i="6"/>
  <c r="AS24" i="6"/>
  <c r="C24" i="6"/>
  <c r="AU23" i="6"/>
  <c r="AT23" i="6"/>
  <c r="AS23" i="6"/>
  <c r="C23" i="6"/>
  <c r="AU22" i="6"/>
  <c r="AT22" i="6"/>
  <c r="AS22" i="6"/>
  <c r="C22" i="6"/>
  <c r="AU21" i="6"/>
  <c r="AT21" i="6"/>
  <c r="AS21" i="6"/>
  <c r="C21" i="6"/>
  <c r="AU20" i="6"/>
  <c r="AT20" i="6"/>
  <c r="AS20" i="6"/>
  <c r="C20" i="6"/>
  <c r="AU19" i="6"/>
  <c r="AT19" i="6"/>
  <c r="AS19" i="6"/>
  <c r="C19" i="6"/>
  <c r="AU18" i="6"/>
  <c r="AT18" i="6"/>
  <c r="C18" i="6"/>
  <c r="AU17" i="6"/>
  <c r="AU16" i="6"/>
  <c r="AU15" i="6"/>
  <c r="AU14" i="6"/>
  <c r="C14" i="6"/>
  <c r="AU13" i="6"/>
  <c r="AT7" i="6"/>
  <c r="C7" i="6"/>
  <c r="AU6" i="6"/>
  <c r="AT6" i="6"/>
  <c r="AS6" i="6"/>
  <c r="C17" i="6" s="1"/>
  <c r="C5" i="6"/>
  <c r="A4" i="6"/>
  <c r="J634" i="5"/>
  <c r="J633" i="5"/>
  <c r="J632" i="5"/>
  <c r="J631" i="5"/>
  <c r="J630" i="5"/>
  <c r="J629" i="5"/>
  <c r="J628" i="5"/>
  <c r="J627" i="5"/>
  <c r="J626" i="5"/>
  <c r="J625" i="5"/>
  <c r="G624" i="5"/>
  <c r="T622" i="5"/>
  <c r="S624" i="5" s="1"/>
  <c r="S622" i="5"/>
  <c r="O622" i="5"/>
  <c r="L622" i="5"/>
  <c r="K622" i="5"/>
  <c r="K624" i="5" s="1"/>
  <c r="J620" i="5"/>
  <c r="J619" i="5"/>
  <c r="J618" i="5"/>
  <c r="J617" i="5"/>
  <c r="J616" i="5"/>
  <c r="J615" i="5"/>
  <c r="J614" i="5"/>
  <c r="J613" i="5"/>
  <c r="J612" i="5"/>
  <c r="J611" i="5"/>
  <c r="G610" i="5"/>
  <c r="S608" i="5"/>
  <c r="P608" i="5"/>
  <c r="O608" i="5"/>
  <c r="O610" i="5" s="1"/>
  <c r="K608" i="5"/>
  <c r="L608" i="5" s="1"/>
  <c r="K610" i="5" s="1"/>
  <c r="J606" i="5"/>
  <c r="J605" i="5"/>
  <c r="J604" i="5"/>
  <c r="J603" i="5"/>
  <c r="J602" i="5"/>
  <c r="J601" i="5"/>
  <c r="J600" i="5"/>
  <c r="J599" i="5"/>
  <c r="J598" i="5"/>
  <c r="J597" i="5"/>
  <c r="S596" i="5"/>
  <c r="G596" i="5"/>
  <c r="T594" i="5"/>
  <c r="S594" i="5"/>
  <c r="O594" i="5"/>
  <c r="L594" i="5"/>
  <c r="K594" i="5"/>
  <c r="K596" i="5" s="1"/>
  <c r="J592" i="5"/>
  <c r="J591" i="5"/>
  <c r="J590" i="5"/>
  <c r="J589" i="5"/>
  <c r="J588" i="5"/>
  <c r="J587" i="5"/>
  <c r="J586" i="5"/>
  <c r="J585" i="5"/>
  <c r="J584" i="5"/>
  <c r="J583" i="5"/>
  <c r="G582" i="5"/>
  <c r="S580" i="5"/>
  <c r="P580" i="5"/>
  <c r="O580" i="5"/>
  <c r="K580" i="5"/>
  <c r="L580" i="5" s="1"/>
  <c r="K582" i="5" s="1"/>
  <c r="J578" i="5"/>
  <c r="J577" i="5"/>
  <c r="J576" i="5"/>
  <c r="J575" i="5"/>
  <c r="J574" i="5"/>
  <c r="J573" i="5"/>
  <c r="J572" i="5"/>
  <c r="J571" i="5"/>
  <c r="J570" i="5"/>
  <c r="J569" i="5"/>
  <c r="G568" i="5"/>
  <c r="T566" i="5"/>
  <c r="S568" i="5" s="1"/>
  <c r="S566" i="5"/>
  <c r="O566" i="5"/>
  <c r="L566" i="5"/>
  <c r="K566" i="5"/>
  <c r="K568" i="5" s="1"/>
  <c r="J564" i="5"/>
  <c r="J563" i="5"/>
  <c r="J562" i="5"/>
  <c r="J561" i="5"/>
  <c r="J560" i="5"/>
  <c r="J559" i="5"/>
  <c r="J558" i="5"/>
  <c r="J557" i="5"/>
  <c r="J556" i="5"/>
  <c r="J555" i="5"/>
  <c r="G554" i="5"/>
  <c r="S552" i="5"/>
  <c r="P552" i="5"/>
  <c r="O552" i="5"/>
  <c r="O554" i="5" s="1"/>
  <c r="K552" i="5"/>
  <c r="L552" i="5" s="1"/>
  <c r="K554" i="5" s="1"/>
  <c r="J550" i="5"/>
  <c r="J549" i="5"/>
  <c r="J548" i="5"/>
  <c r="J547" i="5"/>
  <c r="J546" i="5"/>
  <c r="J545" i="5"/>
  <c r="J544" i="5"/>
  <c r="J543" i="5"/>
  <c r="J542" i="5"/>
  <c r="J541" i="5"/>
  <c r="S540" i="5"/>
  <c r="G540" i="5"/>
  <c r="T538" i="5"/>
  <c r="S538" i="5"/>
  <c r="O538" i="5"/>
  <c r="L538" i="5"/>
  <c r="K538" i="5"/>
  <c r="K540" i="5" s="1"/>
  <c r="J536" i="5"/>
  <c r="J535" i="5"/>
  <c r="J534" i="5"/>
  <c r="J533" i="5"/>
  <c r="J532" i="5"/>
  <c r="J531" i="5"/>
  <c r="J530" i="5"/>
  <c r="J529" i="5"/>
  <c r="J528" i="5"/>
  <c r="J527" i="5"/>
  <c r="G526" i="5"/>
  <c r="S524" i="5"/>
  <c r="P524" i="5"/>
  <c r="O524" i="5"/>
  <c r="K524" i="5"/>
  <c r="L524" i="5" s="1"/>
  <c r="K526" i="5" s="1"/>
  <c r="J522" i="5"/>
  <c r="J521" i="5"/>
  <c r="J520" i="5"/>
  <c r="J519" i="5"/>
  <c r="J518" i="5"/>
  <c r="J517" i="5"/>
  <c r="J516" i="5"/>
  <c r="J515" i="5"/>
  <c r="J514" i="5"/>
  <c r="J513" i="5"/>
  <c r="G512" i="5"/>
  <c r="T510" i="5"/>
  <c r="S512" i="5" s="1"/>
  <c r="S510" i="5"/>
  <c r="O510" i="5"/>
  <c r="L510" i="5"/>
  <c r="K510" i="5"/>
  <c r="K512" i="5" s="1"/>
  <c r="J508" i="5"/>
  <c r="J507" i="5"/>
  <c r="J506" i="5"/>
  <c r="J505" i="5"/>
  <c r="J504" i="5"/>
  <c r="J503" i="5"/>
  <c r="J502" i="5"/>
  <c r="J501" i="5"/>
  <c r="J500" i="5"/>
  <c r="J499" i="5"/>
  <c r="G498" i="5"/>
  <c r="S496" i="5"/>
  <c r="P496" i="5"/>
  <c r="O496" i="5"/>
  <c r="O498" i="5" s="1"/>
  <c r="K496" i="5"/>
  <c r="L496" i="5" s="1"/>
  <c r="K498" i="5" s="1"/>
  <c r="J494" i="5"/>
  <c r="J493" i="5"/>
  <c r="J492" i="5"/>
  <c r="J491" i="5"/>
  <c r="J490" i="5"/>
  <c r="J489" i="5"/>
  <c r="J488" i="5"/>
  <c r="J487" i="5"/>
  <c r="J486" i="5"/>
  <c r="J485" i="5"/>
  <c r="S484" i="5"/>
  <c r="G484" i="5"/>
  <c r="T482" i="5"/>
  <c r="S482" i="5"/>
  <c r="O482" i="5"/>
  <c r="L482" i="5"/>
  <c r="K482" i="5"/>
  <c r="K484" i="5" s="1"/>
  <c r="J480" i="5"/>
  <c r="J479" i="5"/>
  <c r="J478" i="5"/>
  <c r="J477" i="5"/>
  <c r="J476" i="5"/>
  <c r="J475" i="5"/>
  <c r="J474" i="5"/>
  <c r="J473" i="5"/>
  <c r="J472" i="5"/>
  <c r="J471" i="5"/>
  <c r="G470" i="5"/>
  <c r="S468" i="5"/>
  <c r="P468" i="5"/>
  <c r="O468" i="5"/>
  <c r="K468" i="5"/>
  <c r="L468" i="5" s="1"/>
  <c r="K470" i="5" s="1"/>
  <c r="J466" i="5"/>
  <c r="J465" i="5"/>
  <c r="J464" i="5"/>
  <c r="J463" i="5"/>
  <c r="J462" i="5"/>
  <c r="J461" i="5"/>
  <c r="J460" i="5"/>
  <c r="J459" i="5"/>
  <c r="J458" i="5"/>
  <c r="J457" i="5"/>
  <c r="G456" i="5"/>
  <c r="T454" i="5"/>
  <c r="S456" i="5" s="1"/>
  <c r="S454" i="5"/>
  <c r="O454" i="5"/>
  <c r="L454" i="5"/>
  <c r="K454" i="5"/>
  <c r="K456" i="5" s="1"/>
  <c r="J452" i="5"/>
  <c r="J451" i="5"/>
  <c r="J450" i="5"/>
  <c r="J449" i="5"/>
  <c r="J448" i="5"/>
  <c r="J447" i="5"/>
  <c r="J446" i="5"/>
  <c r="J445" i="5"/>
  <c r="J444" i="5"/>
  <c r="J443" i="5"/>
  <c r="G442" i="5"/>
  <c r="S440" i="5"/>
  <c r="P440" i="5"/>
  <c r="O440" i="5"/>
  <c r="O442" i="5" s="1"/>
  <c r="K440" i="5"/>
  <c r="L440" i="5" s="1"/>
  <c r="K442" i="5" s="1"/>
  <c r="J438" i="5"/>
  <c r="J437" i="5"/>
  <c r="J436" i="5"/>
  <c r="J435" i="5"/>
  <c r="J434" i="5"/>
  <c r="J433" i="5"/>
  <c r="J432" i="5"/>
  <c r="J431" i="5"/>
  <c r="J430" i="5"/>
  <c r="J429" i="5"/>
  <c r="S428" i="5"/>
  <c r="G428" i="5"/>
  <c r="T426" i="5"/>
  <c r="S426" i="5"/>
  <c r="O426" i="5"/>
  <c r="L426" i="5"/>
  <c r="K426" i="5"/>
  <c r="K428" i="5" s="1"/>
  <c r="J424" i="5"/>
  <c r="J423" i="5"/>
  <c r="J422" i="5"/>
  <c r="J421" i="5"/>
  <c r="J420" i="5"/>
  <c r="J419" i="5"/>
  <c r="J418" i="5"/>
  <c r="J417" i="5"/>
  <c r="J416" i="5"/>
  <c r="J415" i="5"/>
  <c r="G414" i="5"/>
  <c r="S412" i="5"/>
  <c r="P412" i="5"/>
  <c r="O412" i="5"/>
  <c r="K412" i="5"/>
  <c r="L412" i="5" s="1"/>
  <c r="K414" i="5" s="1"/>
  <c r="J410" i="5"/>
  <c r="J409" i="5"/>
  <c r="J408" i="5"/>
  <c r="J407" i="5"/>
  <c r="J406" i="5"/>
  <c r="J405" i="5"/>
  <c r="J404" i="5"/>
  <c r="J403" i="5"/>
  <c r="J402" i="5"/>
  <c r="J401" i="5"/>
  <c r="G400" i="5"/>
  <c r="T398" i="5"/>
  <c r="S400" i="5" s="1"/>
  <c r="S398" i="5"/>
  <c r="O398" i="5"/>
  <c r="L398" i="5"/>
  <c r="K398" i="5"/>
  <c r="K400" i="5" s="1"/>
  <c r="J396" i="5"/>
  <c r="J395" i="5"/>
  <c r="J394" i="5"/>
  <c r="J393" i="5"/>
  <c r="J392" i="5"/>
  <c r="J391" i="5"/>
  <c r="J390" i="5"/>
  <c r="J389" i="5"/>
  <c r="J388" i="5"/>
  <c r="J387" i="5"/>
  <c r="G386" i="5"/>
  <c r="S384" i="5"/>
  <c r="P384" i="5"/>
  <c r="O384" i="5"/>
  <c r="O386" i="5" s="1"/>
  <c r="K384" i="5"/>
  <c r="L384" i="5" s="1"/>
  <c r="K386" i="5" s="1"/>
  <c r="J382" i="5"/>
  <c r="J381" i="5"/>
  <c r="J380" i="5"/>
  <c r="J379" i="5"/>
  <c r="J378" i="5"/>
  <c r="J377" i="5"/>
  <c r="J376" i="5"/>
  <c r="J375" i="5"/>
  <c r="J374" i="5"/>
  <c r="J373" i="5"/>
  <c r="S372" i="5"/>
  <c r="G372" i="5"/>
  <c r="T370" i="5"/>
  <c r="S370" i="5"/>
  <c r="O370" i="5"/>
  <c r="L370" i="5"/>
  <c r="K370" i="5"/>
  <c r="K372" i="5" s="1"/>
  <c r="J368" i="5"/>
  <c r="J367" i="5"/>
  <c r="J366" i="5"/>
  <c r="J365" i="5"/>
  <c r="J364" i="5"/>
  <c r="J363" i="5"/>
  <c r="J362" i="5"/>
  <c r="J361" i="5"/>
  <c r="J360" i="5"/>
  <c r="J359" i="5"/>
  <c r="G358" i="5"/>
  <c r="S356" i="5"/>
  <c r="P356" i="5"/>
  <c r="O356" i="5"/>
  <c r="K356" i="5"/>
  <c r="L356" i="5" s="1"/>
  <c r="K358" i="5" s="1"/>
  <c r="J354" i="5"/>
  <c r="J353" i="5"/>
  <c r="J352" i="5"/>
  <c r="J351" i="5"/>
  <c r="J350" i="5"/>
  <c r="J349" i="5"/>
  <c r="J348" i="5"/>
  <c r="J347" i="5"/>
  <c r="J346" i="5"/>
  <c r="J345" i="5"/>
  <c r="G344" i="5"/>
  <c r="T342" i="5"/>
  <c r="S344" i="5" s="1"/>
  <c r="S342" i="5"/>
  <c r="O342" i="5"/>
  <c r="L342" i="5"/>
  <c r="K342" i="5"/>
  <c r="K344" i="5" s="1"/>
  <c r="J340" i="5"/>
  <c r="J339" i="5"/>
  <c r="J338" i="5"/>
  <c r="J337" i="5"/>
  <c r="J336" i="5"/>
  <c r="J335" i="5"/>
  <c r="J334" i="5"/>
  <c r="J333" i="5"/>
  <c r="J332" i="5"/>
  <c r="J331" i="5"/>
  <c r="G330" i="5"/>
  <c r="S328" i="5"/>
  <c r="P328" i="5"/>
  <c r="O328" i="5"/>
  <c r="O330" i="5" s="1"/>
  <c r="K328" i="5"/>
  <c r="L328" i="5" s="1"/>
  <c r="K330" i="5" s="1"/>
  <c r="J326" i="5"/>
  <c r="J325" i="5"/>
  <c r="J324" i="5"/>
  <c r="J323" i="5"/>
  <c r="J322" i="5"/>
  <c r="J321" i="5"/>
  <c r="J320" i="5"/>
  <c r="J319" i="5"/>
  <c r="J318" i="5"/>
  <c r="J317" i="5"/>
  <c r="S316" i="5"/>
  <c r="G316" i="5"/>
  <c r="T314" i="5"/>
  <c r="S314" i="5"/>
  <c r="O314" i="5"/>
  <c r="L314" i="5"/>
  <c r="K314" i="5"/>
  <c r="K316" i="5" s="1"/>
  <c r="J312" i="5"/>
  <c r="J311" i="5"/>
  <c r="J310" i="5"/>
  <c r="J309" i="5"/>
  <c r="J308" i="5"/>
  <c r="J307" i="5"/>
  <c r="J306" i="5"/>
  <c r="J305" i="5"/>
  <c r="J304" i="5"/>
  <c r="J303" i="5"/>
  <c r="G302" i="5"/>
  <c r="S300" i="5"/>
  <c r="P300" i="5"/>
  <c r="O300" i="5"/>
  <c r="K300" i="5"/>
  <c r="L300" i="5" s="1"/>
  <c r="J298" i="5"/>
  <c r="J297" i="5"/>
  <c r="J296" i="5"/>
  <c r="J295" i="5"/>
  <c r="J294" i="5"/>
  <c r="J293" i="5"/>
  <c r="J292" i="5"/>
  <c r="J291" i="5"/>
  <c r="J290" i="5"/>
  <c r="J289" i="5"/>
  <c r="O288" i="5"/>
  <c r="G288" i="5"/>
  <c r="S286" i="5"/>
  <c r="T286" i="5" s="1"/>
  <c r="O286" i="5"/>
  <c r="P286" i="5" s="1"/>
  <c r="K286" i="5"/>
  <c r="J284" i="5"/>
  <c r="J283" i="5"/>
  <c r="J282" i="5"/>
  <c r="J281" i="5"/>
  <c r="J280" i="5"/>
  <c r="J279" i="5"/>
  <c r="J278" i="5"/>
  <c r="J277" i="5"/>
  <c r="J276" i="5"/>
  <c r="J275" i="5"/>
  <c r="G274" i="5"/>
  <c r="S272" i="5"/>
  <c r="O272" i="5"/>
  <c r="K272" i="5"/>
  <c r="J270" i="5"/>
  <c r="J269" i="5"/>
  <c r="J268" i="5"/>
  <c r="J267" i="5"/>
  <c r="J266" i="5"/>
  <c r="J265" i="5"/>
  <c r="J264" i="5"/>
  <c r="J263" i="5"/>
  <c r="J262" i="5"/>
  <c r="J261" i="5"/>
  <c r="G260" i="5"/>
  <c r="T258" i="5"/>
  <c r="S258" i="5"/>
  <c r="S260" i="5" s="1"/>
  <c r="O258" i="5"/>
  <c r="P258" i="5" s="1"/>
  <c r="K258" i="5"/>
  <c r="J256" i="5"/>
  <c r="J255" i="5"/>
  <c r="J254" i="5"/>
  <c r="J253" i="5"/>
  <c r="J252" i="5"/>
  <c r="J251" i="5"/>
  <c r="J250" i="5"/>
  <c r="J249" i="5"/>
  <c r="J248" i="5"/>
  <c r="J247" i="5"/>
  <c r="O246" i="5"/>
  <c r="G246" i="5"/>
  <c r="S244" i="5"/>
  <c r="P244" i="5"/>
  <c r="O244" i="5"/>
  <c r="K244" i="5"/>
  <c r="L244" i="5" s="1"/>
  <c r="J242" i="5"/>
  <c r="J241" i="5"/>
  <c r="J240" i="5"/>
  <c r="J239" i="5"/>
  <c r="J238" i="5"/>
  <c r="J237" i="5"/>
  <c r="J236" i="5"/>
  <c r="J235" i="5"/>
  <c r="J234" i="5"/>
  <c r="J233" i="5"/>
  <c r="G232" i="5"/>
  <c r="T230" i="5"/>
  <c r="S230" i="5"/>
  <c r="S232" i="5" s="1"/>
  <c r="O230" i="5"/>
  <c r="P230" i="5" s="1"/>
  <c r="K230" i="5"/>
  <c r="J228" i="5"/>
  <c r="J227" i="5"/>
  <c r="J226" i="5"/>
  <c r="J225" i="5"/>
  <c r="J224" i="5"/>
  <c r="J223" i="5"/>
  <c r="J222" i="5"/>
  <c r="J221" i="5"/>
  <c r="J220" i="5"/>
  <c r="J219" i="5"/>
  <c r="G218" i="5"/>
  <c r="S216" i="5"/>
  <c r="P216" i="5"/>
  <c r="O218" i="5" s="1"/>
  <c r="O216" i="5"/>
  <c r="K216" i="5"/>
  <c r="J214" i="5"/>
  <c r="J213" i="5"/>
  <c r="J212" i="5"/>
  <c r="J211" i="5"/>
  <c r="J210" i="5"/>
  <c r="J209" i="5"/>
  <c r="J208" i="5"/>
  <c r="J207" i="5"/>
  <c r="J206" i="5"/>
  <c r="J205" i="5"/>
  <c r="BP204" i="5"/>
  <c r="G204" i="5"/>
  <c r="BP203" i="5"/>
  <c r="BP202" i="5"/>
  <c r="S202" i="5"/>
  <c r="P202" i="5"/>
  <c r="O202" i="5"/>
  <c r="O204" i="5" s="1"/>
  <c r="K202" i="5"/>
  <c r="BP201" i="5"/>
  <c r="BP200" i="5"/>
  <c r="J200" i="5"/>
  <c r="BP199" i="5"/>
  <c r="J199" i="5"/>
  <c r="BP198" i="5"/>
  <c r="J198" i="5"/>
  <c r="BP197" i="5"/>
  <c r="J197" i="5"/>
  <c r="BP196" i="5"/>
  <c r="J196" i="5"/>
  <c r="BP195" i="5"/>
  <c r="J195" i="5"/>
  <c r="BP194" i="5"/>
  <c r="J194" i="5"/>
  <c r="BP193" i="5"/>
  <c r="J193" i="5"/>
  <c r="BP192" i="5"/>
  <c r="J192" i="5"/>
  <c r="BP191" i="5"/>
  <c r="J191" i="5"/>
  <c r="BP190" i="5"/>
  <c r="G190" i="5"/>
  <c r="BP189" i="5"/>
  <c r="BP188" i="5"/>
  <c r="T188" i="5"/>
  <c r="S188" i="5"/>
  <c r="S190" i="5" s="1"/>
  <c r="P188" i="5"/>
  <c r="O188" i="5"/>
  <c r="K188" i="5"/>
  <c r="BP187" i="5"/>
  <c r="BP186" i="5"/>
  <c r="J186" i="5"/>
  <c r="BP185" i="5"/>
  <c r="J185" i="5"/>
  <c r="BP184" i="5"/>
  <c r="J184" i="5"/>
  <c r="BP183" i="5"/>
  <c r="J183" i="5"/>
  <c r="BP182" i="5"/>
  <c r="J182" i="5"/>
  <c r="BP181" i="5"/>
  <c r="J181" i="5"/>
  <c r="BP180" i="5"/>
  <c r="J180" i="5"/>
  <c r="BP179" i="5"/>
  <c r="J179" i="5"/>
  <c r="BP178" i="5"/>
  <c r="J178" i="5"/>
  <c r="BP177" i="5"/>
  <c r="J177" i="5"/>
  <c r="BP176" i="5"/>
  <c r="G176" i="5"/>
  <c r="BP175" i="5"/>
  <c r="BP174" i="5"/>
  <c r="S174" i="5"/>
  <c r="T174" i="5" s="1"/>
  <c r="S176" i="5" s="1"/>
  <c r="P174" i="5"/>
  <c r="O174" i="5"/>
  <c r="O176" i="5" s="1"/>
  <c r="K174" i="5"/>
  <c r="BP173" i="5"/>
  <c r="BP172" i="5"/>
  <c r="J172" i="5"/>
  <c r="BP171" i="5"/>
  <c r="J171" i="5"/>
  <c r="BP170" i="5"/>
  <c r="J170" i="5"/>
  <c r="BP169" i="5"/>
  <c r="J169" i="5"/>
  <c r="BP168" i="5"/>
  <c r="J168" i="5"/>
  <c r="BP167" i="5"/>
  <c r="J167" i="5"/>
  <c r="BP166" i="5"/>
  <c r="J166" i="5"/>
  <c r="BP165" i="5"/>
  <c r="J165" i="5"/>
  <c r="BP164" i="5"/>
  <c r="J164" i="5"/>
  <c r="BP163" i="5"/>
  <c r="J163" i="5"/>
  <c r="BP162" i="5"/>
  <c r="G162" i="5"/>
  <c r="BP161" i="5"/>
  <c r="BP160" i="5"/>
  <c r="T160" i="5"/>
  <c r="S162" i="5" s="1"/>
  <c r="S160" i="5"/>
  <c r="P160" i="5"/>
  <c r="O160" i="5"/>
  <c r="L160" i="5"/>
  <c r="K162" i="5" s="1"/>
  <c r="K160" i="5"/>
  <c r="BP159" i="5"/>
  <c r="BP158" i="5"/>
  <c r="J158" i="5"/>
  <c r="BP157" i="5"/>
  <c r="J157" i="5"/>
  <c r="BP156" i="5"/>
  <c r="J156" i="5"/>
  <c r="BP155" i="5"/>
  <c r="J155" i="5"/>
  <c r="BP154" i="5"/>
  <c r="J154" i="5"/>
  <c r="BP153" i="5"/>
  <c r="J153" i="5"/>
  <c r="BP152" i="5"/>
  <c r="J152" i="5"/>
  <c r="BP151" i="5"/>
  <c r="J151" i="5"/>
  <c r="BP150" i="5"/>
  <c r="J150" i="5"/>
  <c r="BP149" i="5"/>
  <c r="J149" i="5"/>
  <c r="BP148" i="5"/>
  <c r="G148" i="5"/>
  <c r="BP147" i="5"/>
  <c r="BP146" i="5"/>
  <c r="T146" i="5"/>
  <c r="S146" i="5"/>
  <c r="P146" i="5"/>
  <c r="O146" i="5"/>
  <c r="O148" i="5" s="1"/>
  <c r="L146" i="5"/>
  <c r="K148" i="5" s="1"/>
  <c r="K146" i="5"/>
  <c r="BP145" i="5"/>
  <c r="BP144" i="5"/>
  <c r="J144" i="5"/>
  <c r="BP143" i="5"/>
  <c r="J143" i="5"/>
  <c r="BP142" i="5"/>
  <c r="J142" i="5"/>
  <c r="BP141" i="5"/>
  <c r="J141" i="5"/>
  <c r="BP140" i="5"/>
  <c r="J140" i="5"/>
  <c r="BP139" i="5"/>
  <c r="J139" i="5"/>
  <c r="BP138" i="5"/>
  <c r="J138" i="5"/>
  <c r="BP137" i="5"/>
  <c r="J137" i="5"/>
  <c r="BP136" i="5"/>
  <c r="J136" i="5"/>
  <c r="BP135" i="5"/>
  <c r="J135" i="5"/>
  <c r="BP134" i="5"/>
  <c r="G134" i="5"/>
  <c r="BP133" i="5"/>
  <c r="BP132" i="5"/>
  <c r="T132" i="5"/>
  <c r="S134" i="5" s="1"/>
  <c r="S132" i="5"/>
  <c r="P132" i="5"/>
  <c r="O134" i="5" s="1"/>
  <c r="O132" i="5"/>
  <c r="L132" i="5"/>
  <c r="K132" i="5"/>
  <c r="BP131" i="5"/>
  <c r="BP130" i="5"/>
  <c r="J130" i="5"/>
  <c r="BP129" i="5"/>
  <c r="J129" i="5"/>
  <c r="BP128" i="5"/>
  <c r="J128" i="5"/>
  <c r="BP127" i="5"/>
  <c r="J127" i="5"/>
  <c r="BP126" i="5"/>
  <c r="J126" i="5"/>
  <c r="BP125" i="5"/>
  <c r="J125" i="5"/>
  <c r="BP124" i="5"/>
  <c r="J124" i="5"/>
  <c r="BP123" i="5"/>
  <c r="J123" i="5"/>
  <c r="BP122" i="5"/>
  <c r="J122" i="5"/>
  <c r="BP121" i="5"/>
  <c r="J121" i="5"/>
  <c r="BP120" i="5"/>
  <c r="G120" i="5"/>
  <c r="BP119" i="5"/>
  <c r="BP118" i="5"/>
  <c r="T118" i="5"/>
  <c r="S118" i="5"/>
  <c r="P118" i="5"/>
  <c r="O118" i="5"/>
  <c r="O120" i="5" s="1"/>
  <c r="L118" i="5"/>
  <c r="K120" i="5" s="1"/>
  <c r="K118" i="5"/>
  <c r="BP117" i="5"/>
  <c r="BP116" i="5"/>
  <c r="J116" i="5"/>
  <c r="BP115" i="5"/>
  <c r="J115" i="5"/>
  <c r="BP114" i="5"/>
  <c r="J114" i="5"/>
  <c r="BP113" i="5"/>
  <c r="J113" i="5"/>
  <c r="BP112" i="5"/>
  <c r="J112" i="5"/>
  <c r="BP111" i="5"/>
  <c r="J111" i="5"/>
  <c r="BP110" i="5"/>
  <c r="J110" i="5"/>
  <c r="BP109" i="5"/>
  <c r="J109" i="5"/>
  <c r="BP108" i="5"/>
  <c r="J108" i="5"/>
  <c r="BP107" i="5"/>
  <c r="J107" i="5"/>
  <c r="BP106" i="5"/>
  <c r="G106" i="5"/>
  <c r="BP105" i="5"/>
  <c r="BP104" i="5"/>
  <c r="T104" i="5"/>
  <c r="S106" i="5" s="1"/>
  <c r="S104" i="5"/>
  <c r="P104" i="5"/>
  <c r="O106" i="5" s="1"/>
  <c r="O104" i="5"/>
  <c r="L104" i="5"/>
  <c r="K104" i="5"/>
  <c r="BP103" i="5"/>
  <c r="BP102" i="5"/>
  <c r="J102" i="5"/>
  <c r="BP101" i="5"/>
  <c r="J101" i="5"/>
  <c r="BP100" i="5"/>
  <c r="J100" i="5"/>
  <c r="BP99" i="5"/>
  <c r="J99" i="5"/>
  <c r="BP98" i="5"/>
  <c r="J98" i="5"/>
  <c r="BP97" i="5"/>
  <c r="J97" i="5"/>
  <c r="BP96" i="5"/>
  <c r="J96" i="5"/>
  <c r="BP95" i="5"/>
  <c r="J95" i="5"/>
  <c r="BP94" i="5"/>
  <c r="J94" i="5"/>
  <c r="BP93" i="5"/>
  <c r="J93" i="5"/>
  <c r="BP92" i="5"/>
  <c r="G92" i="5"/>
  <c r="BP91" i="5"/>
  <c r="BP90" i="5"/>
  <c r="T90" i="5"/>
  <c r="S90" i="5"/>
  <c r="P90" i="5"/>
  <c r="O90" i="5"/>
  <c r="O92" i="5" s="1"/>
  <c r="L90" i="5"/>
  <c r="K92" i="5" s="1"/>
  <c r="K90" i="5"/>
  <c r="BP89" i="5"/>
  <c r="BP88" i="5"/>
  <c r="J88" i="5"/>
  <c r="BP87" i="5"/>
  <c r="J87" i="5"/>
  <c r="BP86" i="5"/>
  <c r="J86" i="5"/>
  <c r="BP85" i="5"/>
  <c r="J85" i="5"/>
  <c r="BP84" i="5"/>
  <c r="J84" i="5"/>
  <c r="BP83" i="5"/>
  <c r="J83" i="5"/>
  <c r="BP82" i="5"/>
  <c r="J82" i="5"/>
  <c r="BP81" i="5"/>
  <c r="J81" i="5"/>
  <c r="BP80" i="5"/>
  <c r="J80" i="5"/>
  <c r="BP79" i="5"/>
  <c r="J79" i="5"/>
  <c r="BP78" i="5"/>
  <c r="O78" i="5"/>
  <c r="G78" i="5"/>
  <c r="BP77" i="5"/>
  <c r="BP76" i="5"/>
  <c r="T76" i="5"/>
  <c r="S78" i="5" s="1"/>
  <c r="S76" i="5"/>
  <c r="P76" i="5"/>
  <c r="O76" i="5"/>
  <c r="L76" i="5"/>
  <c r="K76" i="5"/>
  <c r="BP75" i="5"/>
  <c r="BP74" i="5"/>
  <c r="J74" i="5"/>
  <c r="BP73" i="5"/>
  <c r="J73" i="5"/>
  <c r="BP72" i="5"/>
  <c r="J72" i="5"/>
  <c r="BP71" i="5"/>
  <c r="J71" i="5"/>
  <c r="BP70" i="5"/>
  <c r="J70" i="5"/>
  <c r="BP69" i="5"/>
  <c r="J69" i="5"/>
  <c r="BP68" i="5"/>
  <c r="J68" i="5"/>
  <c r="BP67" i="5"/>
  <c r="J67" i="5"/>
  <c r="BP66" i="5"/>
  <c r="J66" i="5"/>
  <c r="BP65" i="5"/>
  <c r="J65" i="5"/>
  <c r="BP64" i="5"/>
  <c r="G64" i="5"/>
  <c r="BP63" i="5"/>
  <c r="BP62" i="5"/>
  <c r="T62" i="5"/>
  <c r="S62" i="5"/>
  <c r="P62" i="5"/>
  <c r="O62" i="5"/>
  <c r="O64" i="5" s="1"/>
  <c r="L62" i="5"/>
  <c r="K64" i="5" s="1"/>
  <c r="K62" i="5"/>
  <c r="BP61" i="5"/>
  <c r="BP60" i="5"/>
  <c r="J60" i="5"/>
  <c r="BP59" i="5"/>
  <c r="J59" i="5"/>
  <c r="BP58" i="5"/>
  <c r="J58" i="5"/>
  <c r="BP57" i="5"/>
  <c r="J57" i="5"/>
  <c r="BP56" i="5"/>
  <c r="J56" i="5"/>
  <c r="BP55" i="5"/>
  <c r="J55" i="5"/>
  <c r="BP54" i="5"/>
  <c r="J54" i="5"/>
  <c r="BP53" i="5"/>
  <c r="J53" i="5"/>
  <c r="BP52" i="5"/>
  <c r="J52" i="5"/>
  <c r="BP51" i="5"/>
  <c r="J51" i="5"/>
  <c r="BP50" i="5"/>
  <c r="BP49" i="5"/>
  <c r="BP48" i="5"/>
  <c r="Z48" i="5"/>
  <c r="Y48" i="5"/>
  <c r="X48" i="5"/>
  <c r="W48" i="5"/>
  <c r="S48" i="5"/>
  <c r="T48" i="5" s="1"/>
  <c r="O48" i="5"/>
  <c r="K48" i="5"/>
  <c r="A48" i="5"/>
  <c r="H48" i="5" s="1"/>
  <c r="BP47" i="5"/>
  <c r="BP46" i="5"/>
  <c r="Y46" i="5"/>
  <c r="J46" i="5"/>
  <c r="BP45" i="5"/>
  <c r="W45" i="5"/>
  <c r="J45" i="5"/>
  <c r="BP44" i="5"/>
  <c r="Y44" i="5"/>
  <c r="W44" i="5"/>
  <c r="J44" i="5"/>
  <c r="BP43" i="5"/>
  <c r="Z43" i="5"/>
  <c r="J43" i="5"/>
  <c r="BP42" i="5"/>
  <c r="J42" i="5"/>
  <c r="BP41" i="5"/>
  <c r="W41" i="5"/>
  <c r="J41" i="5"/>
  <c r="BP40" i="5"/>
  <c r="J40" i="5"/>
  <c r="BP39" i="5"/>
  <c r="W39" i="5"/>
  <c r="J39" i="5"/>
  <c r="BP38" i="5"/>
  <c r="AC38" i="5"/>
  <c r="AB38" i="5"/>
  <c r="AA38" i="5"/>
  <c r="X38" i="5"/>
  <c r="J38" i="5"/>
  <c r="BP37" i="5"/>
  <c r="BM37" i="5"/>
  <c r="AB37" i="5"/>
  <c r="AA37" i="5"/>
  <c r="Y37" i="5"/>
  <c r="J37" i="5"/>
  <c r="BP36" i="5"/>
  <c r="BM36" i="5"/>
  <c r="AC36" i="5"/>
  <c r="AB36" i="5"/>
  <c r="AA36" i="5"/>
  <c r="O36" i="5"/>
  <c r="K36" i="5"/>
  <c r="BP35" i="5"/>
  <c r="BM35" i="5"/>
  <c r="AB35" i="5"/>
  <c r="AA35" i="5"/>
  <c r="Y35" i="5"/>
  <c r="W35" i="5"/>
  <c r="BP34" i="5"/>
  <c r="BM34" i="5"/>
  <c r="Z34" i="5"/>
  <c r="Y34" i="5"/>
  <c r="X34" i="5"/>
  <c r="W34" i="5"/>
  <c r="T34" i="5"/>
  <c r="Z44" i="5" s="1"/>
  <c r="S34" i="5"/>
  <c r="Z42" i="5" s="1"/>
  <c r="P34" i="5"/>
  <c r="Y43" i="5" s="1"/>
  <c r="O34" i="5"/>
  <c r="L34" i="5"/>
  <c r="X42" i="5" s="1"/>
  <c r="K34" i="5"/>
  <c r="X44" i="5" s="1"/>
  <c r="H34" i="5"/>
  <c r="W38" i="5" s="1"/>
  <c r="A34" i="5"/>
  <c r="G34" i="5" s="1"/>
  <c r="BP33" i="5"/>
  <c r="BM33" i="5"/>
  <c r="BP32" i="5"/>
  <c r="BM32" i="5"/>
  <c r="Y32" i="5"/>
  <c r="J32" i="5"/>
  <c r="BP31" i="5"/>
  <c r="BM31" i="5"/>
  <c r="J31" i="5"/>
  <c r="BP30" i="5"/>
  <c r="BM30" i="5"/>
  <c r="J30" i="5"/>
  <c r="BP29" i="5"/>
  <c r="BM29" i="5"/>
  <c r="Y29" i="5"/>
  <c r="J29" i="5"/>
  <c r="BP28" i="5"/>
  <c r="BM28" i="5"/>
  <c r="Y28" i="5"/>
  <c r="J28" i="5"/>
  <c r="BP27" i="5"/>
  <c r="BM27" i="5"/>
  <c r="Y27" i="5"/>
  <c r="J27" i="5"/>
  <c r="BP26" i="5"/>
  <c r="BM26" i="5"/>
  <c r="J26" i="5"/>
  <c r="BP25" i="5"/>
  <c r="BM25" i="5"/>
  <c r="J25" i="5"/>
  <c r="BP24" i="5"/>
  <c r="BM24" i="5"/>
  <c r="AA24" i="5"/>
  <c r="J24" i="5"/>
  <c r="BP23" i="5"/>
  <c r="BM23" i="5"/>
  <c r="AC23" i="5"/>
  <c r="AA23" i="5"/>
  <c r="J23" i="5"/>
  <c r="BP22" i="5"/>
  <c r="BM22" i="5"/>
  <c r="AC22" i="5"/>
  <c r="AB22" i="5"/>
  <c r="AA22" i="5"/>
  <c r="O22" i="5"/>
  <c r="BP21" i="5"/>
  <c r="BM21" i="5"/>
  <c r="AA21" i="5"/>
  <c r="BP20" i="5"/>
  <c r="BM20" i="5"/>
  <c r="Z20" i="5"/>
  <c r="Y20" i="5"/>
  <c r="X20" i="5"/>
  <c r="W20" i="5"/>
  <c r="S20" i="5"/>
  <c r="P20" i="5"/>
  <c r="Y26" i="5" s="1"/>
  <c r="O20" i="5"/>
  <c r="K20" i="5"/>
  <c r="H20" i="5"/>
  <c r="W31" i="5" s="1"/>
  <c r="G20" i="5"/>
  <c r="W30" i="5" s="1"/>
  <c r="A20" i="5"/>
  <c r="BP19" i="5"/>
  <c r="BM19" i="5"/>
  <c r="BP18" i="5"/>
  <c r="Z18" i="5"/>
  <c r="W18" i="5"/>
  <c r="J18" i="5"/>
  <c r="BP17" i="5"/>
  <c r="Z17" i="5"/>
  <c r="W17" i="5"/>
  <c r="J17" i="5"/>
  <c r="BP16" i="5"/>
  <c r="X16" i="5"/>
  <c r="W16" i="5"/>
  <c r="J16" i="5"/>
  <c r="BP15" i="5"/>
  <c r="Z15" i="5"/>
  <c r="W15" i="5"/>
  <c r="J15" i="5"/>
  <c r="C15" i="5"/>
  <c r="BP14" i="5"/>
  <c r="Z14" i="5"/>
  <c r="X14" i="5"/>
  <c r="W14" i="5"/>
  <c r="J14" i="5"/>
  <c r="BP13" i="5"/>
  <c r="W13" i="5"/>
  <c r="J13" i="5"/>
  <c r="BP12" i="5"/>
  <c r="Z12" i="5"/>
  <c r="X12" i="5"/>
  <c r="W12" i="5"/>
  <c r="J12" i="5"/>
  <c r="BP11" i="5"/>
  <c r="C8" i="5" s="1"/>
  <c r="X11" i="5"/>
  <c r="W11" i="5"/>
  <c r="J11" i="5"/>
  <c r="BP10" i="5"/>
  <c r="AB10" i="5"/>
  <c r="AA10" i="5"/>
  <c r="Z10" i="5"/>
  <c r="X10" i="5"/>
  <c r="W10" i="5"/>
  <c r="J10" i="5"/>
  <c r="BP9" i="5"/>
  <c r="BK9" i="5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7" i="5" s="1"/>
  <c r="BK28" i="5" s="1"/>
  <c r="BK29" i="5" s="1"/>
  <c r="BK30" i="5" s="1"/>
  <c r="BK31" i="5" s="1"/>
  <c r="BK32" i="5" s="1"/>
  <c r="BK33" i="5" s="1"/>
  <c r="BK34" i="5" s="1"/>
  <c r="BK35" i="5" s="1"/>
  <c r="BK36" i="5" s="1"/>
  <c r="BK37" i="5" s="1"/>
  <c r="AA9" i="5"/>
  <c r="W9" i="5"/>
  <c r="J9" i="5"/>
  <c r="BY8" i="5"/>
  <c r="BP8" i="5"/>
  <c r="AC8" i="5"/>
  <c r="AB8" i="5"/>
  <c r="AA8" i="5"/>
  <c r="Z8" i="5"/>
  <c r="X8" i="5"/>
  <c r="W8" i="5"/>
  <c r="S8" i="5"/>
  <c r="K8" i="5"/>
  <c r="G8" i="5"/>
  <c r="BP7" i="5"/>
  <c r="BM7" i="5"/>
  <c r="AC7" i="5"/>
  <c r="AB7" i="5"/>
  <c r="Z7" i="5"/>
  <c r="X7" i="5"/>
  <c r="W7" i="5"/>
  <c r="BP6" i="5"/>
  <c r="BN6" i="5"/>
  <c r="BM6" i="5"/>
  <c r="BL6" i="5"/>
  <c r="C239" i="5" s="1"/>
  <c r="Z6" i="5"/>
  <c r="Y6" i="5"/>
  <c r="X6" i="5"/>
  <c r="W6" i="5"/>
  <c r="T6" i="5"/>
  <c r="Z13" i="5" s="1"/>
  <c r="S6" i="5"/>
  <c r="Z16" i="5" s="1"/>
  <c r="O6" i="5"/>
  <c r="L6" i="5"/>
  <c r="X17" i="5" s="1"/>
  <c r="K6" i="5"/>
  <c r="X18" i="5" s="1"/>
  <c r="BO3" i="5"/>
  <c r="A120" i="14"/>
  <c r="A102" i="14"/>
  <c r="A101" i="14"/>
  <c r="G12" i="4"/>
  <c r="A84" i="14"/>
  <c r="A83" i="14"/>
  <c r="G11" i="4"/>
  <c r="G10" i="4"/>
  <c r="G9" i="4"/>
  <c r="G8" i="4"/>
  <c r="B8" i="4"/>
  <c r="G7" i="4"/>
  <c r="E31" i="3"/>
  <c r="D13" i="3"/>
  <c r="D14" i="3" s="1"/>
  <c r="AH12" i="3"/>
  <c r="AD12" i="3"/>
  <c r="Z12" i="3"/>
  <c r="V12" i="3"/>
  <c r="R12" i="3"/>
  <c r="N12" i="3"/>
  <c r="J12" i="3"/>
  <c r="AH11" i="3"/>
  <c r="AF11" i="3"/>
  <c r="A44" i="13" s="1"/>
  <c r="AD11" i="3"/>
  <c r="Z11" i="3"/>
  <c r="V11" i="3"/>
  <c r="R11" i="3"/>
  <c r="P11" i="3"/>
  <c r="A40" i="13" s="1"/>
  <c r="N11" i="3"/>
  <c r="J11" i="3"/>
  <c r="H11" i="3"/>
  <c r="G11" i="3" s="1"/>
  <c r="E11" i="3"/>
  <c r="AH10" i="3"/>
  <c r="AD10" i="3"/>
  <c r="Z10" i="3"/>
  <c r="V10" i="3"/>
  <c r="R10" i="3"/>
  <c r="N10" i="3"/>
  <c r="J10" i="3"/>
  <c r="B10" i="3"/>
  <c r="A28" i="13" s="1"/>
  <c r="AJ9" i="3"/>
  <c r="AH9" i="3"/>
  <c r="AD9" i="3"/>
  <c r="AB9" i="3"/>
  <c r="A23" i="13" s="1"/>
  <c r="Z9" i="3"/>
  <c r="V9" i="3"/>
  <c r="R9" i="3"/>
  <c r="N9" i="3"/>
  <c r="J9" i="3"/>
  <c r="H9" i="3"/>
  <c r="G9" i="3" s="1"/>
  <c r="E9" i="3"/>
  <c r="T9" i="3" s="1"/>
  <c r="A21" i="13" s="1"/>
  <c r="B9" i="3"/>
  <c r="A18" i="13" s="1"/>
  <c r="AH8" i="3"/>
  <c r="AD8" i="3"/>
  <c r="Z8" i="3"/>
  <c r="V8" i="3"/>
  <c r="R8" i="3"/>
  <c r="N8" i="3"/>
  <c r="J8" i="3"/>
  <c r="E8" i="3"/>
  <c r="AI5" i="3"/>
  <c r="AE5" i="3"/>
  <c r="AA5" i="3"/>
  <c r="W5" i="3"/>
  <c r="S5" i="3"/>
  <c r="O5" i="3"/>
  <c r="AH2" i="3"/>
  <c r="AB2" i="3"/>
  <c r="R2" i="3"/>
  <c r="L2" i="3"/>
  <c r="AJ1" i="3"/>
  <c r="AI1" i="3"/>
  <c r="AF1" i="3"/>
  <c r="AE1" i="3"/>
  <c r="AB1" i="3"/>
  <c r="AA1" i="3"/>
  <c r="X1" i="3"/>
  <c r="W1" i="3"/>
  <c r="T1" i="3"/>
  <c r="S1" i="3"/>
  <c r="P1" i="3"/>
  <c r="O1" i="3"/>
  <c r="L1" i="3"/>
  <c r="K1" i="3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C16" i="2"/>
  <c r="H15" i="2"/>
  <c r="H14" i="2"/>
  <c r="H13" i="2"/>
  <c r="H12" i="2"/>
  <c r="H11" i="2"/>
  <c r="H10" i="2"/>
  <c r="H9" i="2"/>
  <c r="AG56" i="1"/>
  <c r="AC56" i="1"/>
  <c r="AB56" i="1"/>
  <c r="X56" i="1"/>
  <c r="Y56" i="1" s="1"/>
  <c r="U56" i="1"/>
  <c r="T56" i="1"/>
  <c r="P56" i="1"/>
  <c r="Q56" i="1" s="1"/>
  <c r="L56" i="1"/>
  <c r="M56" i="1" s="1"/>
  <c r="J56" i="1"/>
  <c r="I56" i="1"/>
  <c r="G56" i="1"/>
  <c r="B56" i="1"/>
  <c r="AG55" i="1"/>
  <c r="AB55" i="1"/>
  <c r="AC55" i="1" s="1"/>
  <c r="Y55" i="1"/>
  <c r="X55" i="1"/>
  <c r="T55" i="1"/>
  <c r="U55" i="1" s="1"/>
  <c r="Q55" i="1"/>
  <c r="P55" i="1"/>
  <c r="L55" i="1"/>
  <c r="M55" i="1" s="1"/>
  <c r="J55" i="1"/>
  <c r="I55" i="1"/>
  <c r="G55" i="1"/>
  <c r="B55" i="1"/>
  <c r="AG54" i="1"/>
  <c r="AB54" i="1"/>
  <c r="AC54" i="1" s="1"/>
  <c r="X54" i="1"/>
  <c r="Y54" i="1" s="1"/>
  <c r="T54" i="1"/>
  <c r="U54" i="1" s="1"/>
  <c r="Q54" i="1"/>
  <c r="P54" i="1"/>
  <c r="L54" i="1"/>
  <c r="M54" i="1" s="1"/>
  <c r="J54" i="1"/>
  <c r="I54" i="1"/>
  <c r="G54" i="1"/>
  <c r="B54" i="1"/>
  <c r="AG53" i="1"/>
  <c r="AC53" i="1"/>
  <c r="AB53" i="1"/>
  <c r="X53" i="1"/>
  <c r="Y53" i="1" s="1"/>
  <c r="U53" i="1"/>
  <c r="T53" i="1"/>
  <c r="P53" i="1"/>
  <c r="Q53" i="1" s="1"/>
  <c r="M53" i="1"/>
  <c r="L53" i="1"/>
  <c r="J53" i="1"/>
  <c r="I53" i="1"/>
  <c r="G53" i="1"/>
  <c r="B53" i="1"/>
  <c r="AG52" i="1"/>
  <c r="AC52" i="1"/>
  <c r="AB52" i="1"/>
  <c r="X52" i="1"/>
  <c r="Y52" i="1" s="1"/>
  <c r="T52" i="1"/>
  <c r="U52" i="1" s="1"/>
  <c r="P52" i="1"/>
  <c r="Q52" i="1" s="1"/>
  <c r="L52" i="1"/>
  <c r="M52" i="1" s="1"/>
  <c r="J52" i="1"/>
  <c r="I52" i="1"/>
  <c r="G52" i="1"/>
  <c r="B52" i="1"/>
  <c r="AG51" i="1"/>
  <c r="AC51" i="1"/>
  <c r="AB51" i="1"/>
  <c r="Y51" i="1"/>
  <c r="X51" i="1"/>
  <c r="U51" i="1"/>
  <c r="T51" i="1"/>
  <c r="Q51" i="1"/>
  <c r="P51" i="1"/>
  <c r="M51" i="1"/>
  <c r="L51" i="1"/>
  <c r="J51" i="1"/>
  <c r="I51" i="1"/>
  <c r="G51" i="1"/>
  <c r="B51" i="1"/>
  <c r="AG50" i="1"/>
  <c r="AB50" i="1"/>
  <c r="AC50" i="1" s="1"/>
  <c r="Y50" i="1"/>
  <c r="X50" i="1"/>
  <c r="T50" i="1"/>
  <c r="U50" i="1" s="1"/>
  <c r="Q50" i="1"/>
  <c r="P50" i="1"/>
  <c r="L50" i="1"/>
  <c r="M50" i="1" s="1"/>
  <c r="J50" i="1"/>
  <c r="I50" i="1"/>
  <c r="G50" i="1"/>
  <c r="B50" i="1"/>
  <c r="AG49" i="1"/>
  <c r="AC49" i="1"/>
  <c r="AB49" i="1"/>
  <c r="X49" i="1"/>
  <c r="Y49" i="1" s="1"/>
  <c r="U49" i="1"/>
  <c r="T49" i="1"/>
  <c r="P49" i="1"/>
  <c r="Q49" i="1" s="1"/>
  <c r="M49" i="1"/>
  <c r="L49" i="1"/>
  <c r="J49" i="1"/>
  <c r="I49" i="1"/>
  <c r="G49" i="1"/>
  <c r="B49" i="1"/>
  <c r="AG48" i="1"/>
  <c r="AB48" i="1"/>
  <c r="AC48" i="1" s="1"/>
  <c r="X48" i="1"/>
  <c r="Y48" i="1" s="1"/>
  <c r="T48" i="1"/>
  <c r="U48" i="1" s="1"/>
  <c r="P48" i="1"/>
  <c r="Q48" i="1" s="1"/>
  <c r="M48" i="1"/>
  <c r="L48" i="1"/>
  <c r="J48" i="1"/>
  <c r="I48" i="1"/>
  <c r="G48" i="1"/>
  <c r="B48" i="1"/>
  <c r="AG47" i="1"/>
  <c r="AC47" i="1"/>
  <c r="AB47" i="1"/>
  <c r="Y47" i="1"/>
  <c r="X47" i="1"/>
  <c r="U47" i="1"/>
  <c r="T47" i="1"/>
  <c r="Q47" i="1"/>
  <c r="P47" i="1"/>
  <c r="M47" i="1"/>
  <c r="L47" i="1"/>
  <c r="J47" i="1"/>
  <c r="I47" i="1"/>
  <c r="G47" i="1"/>
  <c r="B47" i="1"/>
  <c r="AG46" i="1"/>
  <c r="AB46" i="1"/>
  <c r="AC46" i="1" s="1"/>
  <c r="Y46" i="1"/>
  <c r="X46" i="1"/>
  <c r="T46" i="1"/>
  <c r="U46" i="1" s="1"/>
  <c r="P46" i="1"/>
  <c r="Q46" i="1" s="1"/>
  <c r="L46" i="1"/>
  <c r="M46" i="1" s="1"/>
  <c r="J46" i="1"/>
  <c r="I46" i="1"/>
  <c r="G46" i="1"/>
  <c r="B46" i="1"/>
  <c r="AG45" i="1"/>
  <c r="AC45" i="1"/>
  <c r="AB45" i="1"/>
  <c r="Y45" i="1"/>
  <c r="X45" i="1"/>
  <c r="U45" i="1"/>
  <c r="T45" i="1"/>
  <c r="Q45" i="1"/>
  <c r="P45" i="1"/>
  <c r="M45" i="1"/>
  <c r="L45" i="1"/>
  <c r="J45" i="1"/>
  <c r="I45" i="1"/>
  <c r="G45" i="1"/>
  <c r="B45" i="1"/>
  <c r="AG44" i="1"/>
  <c r="AB44" i="1"/>
  <c r="AC44" i="1" s="1"/>
  <c r="X44" i="1"/>
  <c r="Y44" i="1" s="1"/>
  <c r="U44" i="1"/>
  <c r="T44" i="1"/>
  <c r="P44" i="1"/>
  <c r="Q44" i="1" s="1"/>
  <c r="M44" i="1"/>
  <c r="L44" i="1"/>
  <c r="J44" i="1"/>
  <c r="I44" i="1"/>
  <c r="G44" i="1"/>
  <c r="B44" i="1"/>
  <c r="AG43" i="1"/>
  <c r="AB43" i="1"/>
  <c r="AC43" i="1" s="1"/>
  <c r="Y43" i="1"/>
  <c r="X43" i="1"/>
  <c r="T43" i="1"/>
  <c r="U43" i="1" s="1"/>
  <c r="Q43" i="1"/>
  <c r="P43" i="1"/>
  <c r="L43" i="1"/>
  <c r="M43" i="1" s="1"/>
  <c r="J43" i="1"/>
  <c r="I43" i="1"/>
  <c r="G43" i="1"/>
  <c r="B43" i="1"/>
  <c r="AG42" i="1"/>
  <c r="AB42" i="1"/>
  <c r="AC42" i="1" s="1"/>
  <c r="X42" i="1"/>
  <c r="Y42" i="1" s="1"/>
  <c r="T42" i="1"/>
  <c r="U42" i="1" s="1"/>
  <c r="P42" i="1"/>
  <c r="Q42" i="1" s="1"/>
  <c r="L42" i="1"/>
  <c r="M42" i="1" s="1"/>
  <c r="J42" i="1"/>
  <c r="I42" i="1"/>
  <c r="G42" i="1"/>
  <c r="B42" i="1"/>
  <c r="AG41" i="1"/>
  <c r="AC41" i="1"/>
  <c r="AB41" i="1"/>
  <c r="Y41" i="1"/>
  <c r="X41" i="1"/>
  <c r="U41" i="1"/>
  <c r="T41" i="1"/>
  <c r="Q41" i="1"/>
  <c r="P41" i="1"/>
  <c r="M41" i="1"/>
  <c r="L41" i="1"/>
  <c r="J41" i="1"/>
  <c r="I41" i="1"/>
  <c r="G41" i="1"/>
  <c r="B41" i="1"/>
  <c r="AG40" i="1"/>
  <c r="AC40" i="1"/>
  <c r="AB40" i="1"/>
  <c r="X40" i="1"/>
  <c r="Y40" i="1" s="1"/>
  <c r="U40" i="1"/>
  <c r="T40" i="1"/>
  <c r="P40" i="1"/>
  <c r="Q40" i="1" s="1"/>
  <c r="L40" i="1"/>
  <c r="M40" i="1" s="1"/>
  <c r="J40" i="1"/>
  <c r="I40" i="1"/>
  <c r="G40" i="1"/>
  <c r="B40" i="1"/>
  <c r="AG39" i="1"/>
  <c r="AB39" i="1"/>
  <c r="AC39" i="1" s="1"/>
  <c r="Y39" i="1"/>
  <c r="X39" i="1"/>
  <c r="T39" i="1"/>
  <c r="U39" i="1" s="1"/>
  <c r="Q39" i="1"/>
  <c r="P39" i="1"/>
  <c r="L39" i="1"/>
  <c r="M39" i="1" s="1"/>
  <c r="J39" i="1"/>
  <c r="I39" i="1"/>
  <c r="G39" i="1"/>
  <c r="B39" i="1"/>
  <c r="AG38" i="1"/>
  <c r="AB38" i="1"/>
  <c r="AC38" i="1" s="1"/>
  <c r="X38" i="1"/>
  <c r="Y38" i="1" s="1"/>
  <c r="U38" i="1"/>
  <c r="T38" i="1"/>
  <c r="P38" i="1"/>
  <c r="Q38" i="1" s="1"/>
  <c r="M38" i="1"/>
  <c r="L38" i="1"/>
  <c r="J38" i="1"/>
  <c r="I38" i="1"/>
  <c r="G38" i="1"/>
  <c r="B38" i="1"/>
  <c r="AG37" i="1"/>
  <c r="AB37" i="1"/>
  <c r="AC37" i="1" s="1"/>
  <c r="Y37" i="1"/>
  <c r="X37" i="1"/>
  <c r="T37" i="1"/>
  <c r="U37" i="1" s="1"/>
  <c r="Q37" i="1"/>
  <c r="P37" i="1"/>
  <c r="L37" i="1"/>
  <c r="M37" i="1" s="1"/>
  <c r="J37" i="1"/>
  <c r="I37" i="1"/>
  <c r="G37" i="1"/>
  <c r="B37" i="1"/>
  <c r="AG36" i="1"/>
  <c r="AB36" i="1"/>
  <c r="AC36" i="1" s="1"/>
  <c r="Y36" i="1"/>
  <c r="X36" i="1"/>
  <c r="T36" i="1"/>
  <c r="U36" i="1" s="1"/>
  <c r="Q36" i="1"/>
  <c r="P36" i="1"/>
  <c r="L36" i="1"/>
  <c r="M36" i="1" s="1"/>
  <c r="J36" i="1"/>
  <c r="I36" i="1"/>
  <c r="G36" i="1"/>
  <c r="B36" i="1"/>
  <c r="AG35" i="1"/>
  <c r="AC35" i="1"/>
  <c r="AB35" i="1"/>
  <c r="X35" i="1"/>
  <c r="Y35" i="1" s="1"/>
  <c r="U35" i="1"/>
  <c r="T35" i="1"/>
  <c r="P35" i="1"/>
  <c r="Q35" i="1" s="1"/>
  <c r="M35" i="1"/>
  <c r="L35" i="1"/>
  <c r="J35" i="1"/>
  <c r="I35" i="1"/>
  <c r="G35" i="1"/>
  <c r="B35" i="1"/>
  <c r="AG34" i="1"/>
  <c r="AC34" i="1"/>
  <c r="AB34" i="1"/>
  <c r="X34" i="1"/>
  <c r="Y34" i="1" s="1"/>
  <c r="U34" i="1"/>
  <c r="T34" i="1"/>
  <c r="P34" i="1"/>
  <c r="Q34" i="1" s="1"/>
  <c r="M34" i="1"/>
  <c r="L34" i="1"/>
  <c r="J34" i="1"/>
  <c r="I34" i="1"/>
  <c r="G34" i="1"/>
  <c r="B34" i="1"/>
  <c r="AG33" i="1"/>
  <c r="AB33" i="1"/>
  <c r="AC33" i="1" s="1"/>
  <c r="Y33" i="1"/>
  <c r="X33" i="1"/>
  <c r="T33" i="1"/>
  <c r="U33" i="1" s="1"/>
  <c r="Q33" i="1"/>
  <c r="P33" i="1"/>
  <c r="L33" i="1"/>
  <c r="M33" i="1" s="1"/>
  <c r="J33" i="1"/>
  <c r="I33" i="1"/>
  <c r="G33" i="1"/>
  <c r="B33" i="1"/>
  <c r="AG32" i="1"/>
  <c r="AB32" i="1"/>
  <c r="AC32" i="1" s="1"/>
  <c r="Y32" i="1"/>
  <c r="X32" i="1"/>
  <c r="T32" i="1"/>
  <c r="U32" i="1" s="1"/>
  <c r="Q32" i="1"/>
  <c r="P32" i="1"/>
  <c r="L32" i="1"/>
  <c r="M32" i="1" s="1"/>
  <c r="J32" i="1"/>
  <c r="I32" i="1"/>
  <c r="G32" i="1"/>
  <c r="B32" i="1"/>
  <c r="AG31" i="1"/>
  <c r="AC31" i="1"/>
  <c r="AB31" i="1"/>
  <c r="X31" i="1"/>
  <c r="Y31" i="1" s="1"/>
  <c r="U31" i="1"/>
  <c r="T31" i="1"/>
  <c r="P31" i="1"/>
  <c r="Q31" i="1" s="1"/>
  <c r="M31" i="1"/>
  <c r="L31" i="1"/>
  <c r="J31" i="1"/>
  <c r="I31" i="1"/>
  <c r="G31" i="1"/>
  <c r="B31" i="1"/>
  <c r="AG30" i="1"/>
  <c r="AC30" i="1"/>
  <c r="AB30" i="1"/>
  <c r="W26" i="15" s="1"/>
  <c r="X30" i="1"/>
  <c r="V26" i="15" s="1"/>
  <c r="U30" i="1"/>
  <c r="T30" i="1"/>
  <c r="U26" i="15" s="1"/>
  <c r="P30" i="1"/>
  <c r="T26" i="15" s="1"/>
  <c r="M30" i="1"/>
  <c r="L30" i="1"/>
  <c r="S26" i="15" s="1"/>
  <c r="J30" i="1"/>
  <c r="I30" i="1"/>
  <c r="G30" i="1"/>
  <c r="B30" i="1"/>
  <c r="AG29" i="1"/>
  <c r="AB29" i="1"/>
  <c r="W25" i="15" s="1"/>
  <c r="Y29" i="1"/>
  <c r="X29" i="1"/>
  <c r="V25" i="15" s="1"/>
  <c r="T29" i="1"/>
  <c r="U25" i="15" s="1"/>
  <c r="Q29" i="1"/>
  <c r="P29" i="1"/>
  <c r="T25" i="15" s="1"/>
  <c r="L29" i="1"/>
  <c r="S25" i="15" s="1"/>
  <c r="J29" i="1"/>
  <c r="I29" i="1"/>
  <c r="G29" i="1"/>
  <c r="B29" i="1"/>
  <c r="AG28" i="1"/>
  <c r="AB28" i="1"/>
  <c r="W24" i="15" s="1"/>
  <c r="Y28" i="1"/>
  <c r="X28" i="1"/>
  <c r="V24" i="15" s="1"/>
  <c r="T28" i="1"/>
  <c r="U24" i="15" s="1"/>
  <c r="Q28" i="1"/>
  <c r="P28" i="1"/>
  <c r="T24" i="15" s="1"/>
  <c r="L28" i="1"/>
  <c r="S24" i="15" s="1"/>
  <c r="J28" i="1"/>
  <c r="I28" i="1"/>
  <c r="G28" i="1"/>
  <c r="B28" i="1"/>
  <c r="AG27" i="1"/>
  <c r="AC27" i="1"/>
  <c r="AB27" i="1"/>
  <c r="W23" i="15" s="1"/>
  <c r="X27" i="1"/>
  <c r="V23" i="15" s="1"/>
  <c r="U27" i="1"/>
  <c r="T27" i="1"/>
  <c r="U23" i="15" s="1"/>
  <c r="P27" i="1"/>
  <c r="T23" i="15" s="1"/>
  <c r="M27" i="1"/>
  <c r="L27" i="1"/>
  <c r="S23" i="15" s="1"/>
  <c r="J27" i="1"/>
  <c r="I27" i="1"/>
  <c r="G27" i="1"/>
  <c r="B27" i="1"/>
  <c r="AG26" i="1"/>
  <c r="AC26" i="1"/>
  <c r="AB26" i="1"/>
  <c r="W22" i="15" s="1"/>
  <c r="X26" i="1"/>
  <c r="V22" i="15" s="1"/>
  <c r="U26" i="1"/>
  <c r="T26" i="1"/>
  <c r="U22" i="15" s="1"/>
  <c r="P26" i="1"/>
  <c r="T22" i="15" s="1"/>
  <c r="M26" i="1"/>
  <c r="L26" i="1"/>
  <c r="S22" i="15" s="1"/>
  <c r="J26" i="1"/>
  <c r="I26" i="1"/>
  <c r="G26" i="1"/>
  <c r="B26" i="1"/>
  <c r="AG25" i="1"/>
  <c r="AB25" i="1"/>
  <c r="W21" i="15" s="1"/>
  <c r="Y25" i="1"/>
  <c r="X25" i="1"/>
  <c r="V21" i="15" s="1"/>
  <c r="T25" i="1"/>
  <c r="U21" i="15" s="1"/>
  <c r="Q25" i="1"/>
  <c r="P25" i="1"/>
  <c r="T21" i="15" s="1"/>
  <c r="L25" i="1"/>
  <c r="S21" i="15" s="1"/>
  <c r="J25" i="1"/>
  <c r="I25" i="1"/>
  <c r="G25" i="1"/>
  <c r="B25" i="1"/>
  <c r="AG24" i="1"/>
  <c r="AB24" i="1"/>
  <c r="W20" i="15" s="1"/>
  <c r="Y24" i="1"/>
  <c r="X24" i="1"/>
  <c r="V20" i="15" s="1"/>
  <c r="T24" i="1"/>
  <c r="U20" i="15" s="1"/>
  <c r="Q24" i="1"/>
  <c r="P24" i="1"/>
  <c r="T20" i="15" s="1"/>
  <c r="L24" i="1"/>
  <c r="S20" i="15" s="1"/>
  <c r="J24" i="1"/>
  <c r="I24" i="1"/>
  <c r="G24" i="1"/>
  <c r="B24" i="1"/>
  <c r="AG23" i="1"/>
  <c r="AC23" i="1"/>
  <c r="AB23" i="1"/>
  <c r="W19" i="15" s="1"/>
  <c r="X23" i="1"/>
  <c r="V19" i="15" s="1"/>
  <c r="U23" i="1"/>
  <c r="T23" i="1"/>
  <c r="U19" i="15" s="1"/>
  <c r="P23" i="1"/>
  <c r="T19" i="15" s="1"/>
  <c r="M23" i="1"/>
  <c r="L23" i="1"/>
  <c r="S19" i="15" s="1"/>
  <c r="J23" i="1"/>
  <c r="I23" i="1"/>
  <c r="G23" i="1"/>
  <c r="B23" i="1"/>
  <c r="AG22" i="1"/>
  <c r="AC22" i="1"/>
  <c r="AB22" i="1"/>
  <c r="W18" i="15" s="1"/>
  <c r="X22" i="1"/>
  <c r="V18" i="15" s="1"/>
  <c r="U22" i="1"/>
  <c r="T22" i="1"/>
  <c r="U18" i="15" s="1"/>
  <c r="P22" i="1"/>
  <c r="T18" i="15" s="1"/>
  <c r="M22" i="1"/>
  <c r="L22" i="1"/>
  <c r="S18" i="15" s="1"/>
  <c r="J22" i="1"/>
  <c r="I22" i="1"/>
  <c r="G22" i="1"/>
  <c r="B22" i="1"/>
  <c r="AG21" i="1"/>
  <c r="AB21" i="1"/>
  <c r="W17" i="15" s="1"/>
  <c r="Y21" i="1"/>
  <c r="X21" i="1"/>
  <c r="V17" i="15" s="1"/>
  <c r="T21" i="1"/>
  <c r="U17" i="15" s="1"/>
  <c r="Q21" i="1"/>
  <c r="P21" i="1"/>
  <c r="T17" i="15" s="1"/>
  <c r="L21" i="1"/>
  <c r="S17" i="15" s="1"/>
  <c r="J21" i="1"/>
  <c r="I21" i="1"/>
  <c r="G21" i="1"/>
  <c r="B21" i="1"/>
  <c r="AG20" i="1"/>
  <c r="AB20" i="1"/>
  <c r="W16" i="15" s="1"/>
  <c r="Y20" i="1"/>
  <c r="X20" i="1"/>
  <c r="V16" i="15" s="1"/>
  <c r="T20" i="1"/>
  <c r="U16" i="15" s="1"/>
  <c r="Q20" i="1"/>
  <c r="P20" i="1"/>
  <c r="T16" i="15" s="1"/>
  <c r="L20" i="1"/>
  <c r="S16" i="15" s="1"/>
  <c r="J20" i="1"/>
  <c r="I20" i="1"/>
  <c r="G20" i="1"/>
  <c r="B20" i="1"/>
  <c r="AG19" i="1"/>
  <c r="AC19" i="1"/>
  <c r="AB19" i="1"/>
  <c r="W15" i="15" s="1"/>
  <c r="X19" i="1"/>
  <c r="V15" i="15" s="1"/>
  <c r="U19" i="1"/>
  <c r="T19" i="1"/>
  <c r="U15" i="15" s="1"/>
  <c r="P19" i="1"/>
  <c r="T15" i="15" s="1"/>
  <c r="M19" i="1"/>
  <c r="L19" i="1"/>
  <c r="S15" i="15" s="1"/>
  <c r="J19" i="1"/>
  <c r="I19" i="1"/>
  <c r="G19" i="1"/>
  <c r="B19" i="1"/>
  <c r="AG18" i="1"/>
  <c r="AB18" i="1"/>
  <c r="W14" i="15" s="1"/>
  <c r="X18" i="1"/>
  <c r="V14" i="15" s="1"/>
  <c r="T18" i="1"/>
  <c r="P18" i="1"/>
  <c r="L18" i="1"/>
  <c r="G18" i="1"/>
  <c r="B96" i="11" s="1"/>
  <c r="B18" i="1"/>
  <c r="A96" i="11" s="1"/>
  <c r="AG17" i="1"/>
  <c r="AB17" i="1"/>
  <c r="W13" i="15" s="1"/>
  <c r="Y17" i="1"/>
  <c r="X17" i="1"/>
  <c r="V13" i="15" s="1"/>
  <c r="T17" i="1"/>
  <c r="Q17" i="1"/>
  <c r="P17" i="1"/>
  <c r="L17" i="1"/>
  <c r="J17" i="1"/>
  <c r="I17" i="1" s="1"/>
  <c r="G17" i="1"/>
  <c r="B88" i="11" s="1"/>
  <c r="B17" i="1"/>
  <c r="A88" i="11" s="1"/>
  <c r="AG16" i="1"/>
  <c r="AB16" i="1"/>
  <c r="W12" i="15" s="1"/>
  <c r="Y16" i="1"/>
  <c r="X16" i="1"/>
  <c r="V12" i="15" s="1"/>
  <c r="T16" i="1"/>
  <c r="Q16" i="1"/>
  <c r="P16" i="1"/>
  <c r="L16" i="1"/>
  <c r="M16" i="1" s="1"/>
  <c r="A81" i="11" s="1"/>
  <c r="J16" i="1"/>
  <c r="I16" i="1" s="1"/>
  <c r="G16" i="1"/>
  <c r="B80" i="11" s="1"/>
  <c r="B16" i="1"/>
  <c r="A80" i="11" s="1"/>
  <c r="AQ15" i="1"/>
  <c r="AG15" i="1"/>
  <c r="AB15" i="1"/>
  <c r="W11" i="15" s="1"/>
  <c r="Y15" i="1"/>
  <c r="X15" i="1"/>
  <c r="V11" i="15" s="1"/>
  <c r="T15" i="1"/>
  <c r="Q15" i="1"/>
  <c r="P15" i="1"/>
  <c r="L15" i="1"/>
  <c r="M15" i="1" s="1"/>
  <c r="A73" i="11" s="1"/>
  <c r="J15" i="1"/>
  <c r="I15" i="1" s="1"/>
  <c r="G15" i="1"/>
  <c r="B72" i="11" s="1"/>
  <c r="B15" i="1"/>
  <c r="A72" i="11" s="1"/>
  <c r="AQ14" i="1"/>
  <c r="AG14" i="1"/>
  <c r="AB14" i="1"/>
  <c r="W10" i="15" s="1"/>
  <c r="Y14" i="1"/>
  <c r="X14" i="1"/>
  <c r="V10" i="15" s="1"/>
  <c r="T14" i="1"/>
  <c r="U14" i="1" s="1"/>
  <c r="A67" i="11" s="1"/>
  <c r="Q14" i="1"/>
  <c r="P14" i="1"/>
  <c r="L14" i="1"/>
  <c r="J14" i="1"/>
  <c r="I14" i="1" s="1"/>
  <c r="G14" i="1"/>
  <c r="B64" i="11" s="1"/>
  <c r="B14" i="1"/>
  <c r="A64" i="11" s="1"/>
  <c r="AQ13" i="1"/>
  <c r="AG13" i="1"/>
  <c r="AB13" i="1"/>
  <c r="W9" i="15" s="1"/>
  <c r="Y13" i="1"/>
  <c r="X13" i="1"/>
  <c r="V9" i="15" s="1"/>
  <c r="T13" i="1"/>
  <c r="U13" i="1" s="1"/>
  <c r="A59" i="11" s="1"/>
  <c r="Q13" i="1"/>
  <c r="P13" i="1"/>
  <c r="L13" i="1"/>
  <c r="J13" i="1"/>
  <c r="I13" i="1" s="1"/>
  <c r="G13" i="1"/>
  <c r="B56" i="11" s="1"/>
  <c r="B13" i="1"/>
  <c r="A56" i="11" s="1"/>
  <c r="AQ12" i="1"/>
  <c r="AG12" i="1"/>
  <c r="AB12" i="1"/>
  <c r="W8" i="15" s="1"/>
  <c r="Y12" i="1"/>
  <c r="X12" i="1"/>
  <c r="V8" i="15" s="1"/>
  <c r="T12" i="1"/>
  <c r="Q12" i="1"/>
  <c r="P12" i="1"/>
  <c r="L12" i="1"/>
  <c r="J12" i="1"/>
  <c r="I12" i="1" s="1"/>
  <c r="G12" i="1"/>
  <c r="B48" i="11" s="1"/>
  <c r="B12" i="1"/>
  <c r="A48" i="11" s="1"/>
  <c r="AQ11" i="1"/>
  <c r="AG11" i="1"/>
  <c r="AB11" i="1"/>
  <c r="W7" i="15" s="1"/>
  <c r="Y11" i="1"/>
  <c r="X11" i="1"/>
  <c r="V7" i="15" s="1"/>
  <c r="T11" i="1"/>
  <c r="Q11" i="1"/>
  <c r="P11" i="1"/>
  <c r="L11" i="1"/>
  <c r="M11" i="1" s="1"/>
  <c r="A41" i="11" s="1"/>
  <c r="J11" i="1"/>
  <c r="I11" i="1" s="1"/>
  <c r="G11" i="1"/>
  <c r="B40" i="11" s="1"/>
  <c r="B11" i="1"/>
  <c r="A40" i="11" s="1"/>
  <c r="AQ10" i="1"/>
  <c r="AG10" i="1"/>
  <c r="AB10" i="1"/>
  <c r="W6" i="15" s="1"/>
  <c r="Y10" i="1"/>
  <c r="X10" i="1"/>
  <c r="V6" i="15" s="1"/>
  <c r="T10" i="1"/>
  <c r="Q10" i="1"/>
  <c r="P10" i="1"/>
  <c r="L10" i="1"/>
  <c r="M10" i="1" s="1"/>
  <c r="A33" i="11" s="1"/>
  <c r="J10" i="1"/>
  <c r="I10" i="1" s="1"/>
  <c r="G10" i="1"/>
  <c r="B32" i="11" s="1"/>
  <c r="B10" i="1"/>
  <c r="A32" i="11" s="1"/>
  <c r="AQ9" i="1"/>
  <c r="AG9" i="1"/>
  <c r="AB9" i="1"/>
  <c r="W5" i="15" s="1"/>
  <c r="Y9" i="1"/>
  <c r="X9" i="1"/>
  <c r="T9" i="1"/>
  <c r="U9" i="1" s="1"/>
  <c r="A27" i="11" s="1"/>
  <c r="Q9" i="1"/>
  <c r="P9" i="1"/>
  <c r="L9" i="1"/>
  <c r="J9" i="1"/>
  <c r="I9" i="1" s="1"/>
  <c r="G9" i="1"/>
  <c r="B24" i="11" s="1"/>
  <c r="B9" i="1"/>
  <c r="A24" i="11" s="1"/>
  <c r="AQ8" i="1"/>
  <c r="AG8" i="1"/>
  <c r="AB8" i="1"/>
  <c r="W4" i="15" s="1"/>
  <c r="X8" i="1"/>
  <c r="V4" i="15" s="1"/>
  <c r="T8" i="1"/>
  <c r="P8" i="1"/>
  <c r="L8" i="1"/>
  <c r="S4" i="15" s="1"/>
  <c r="G8" i="1"/>
  <c r="B16" i="11" s="1"/>
  <c r="B8" i="1"/>
  <c r="A16" i="11" s="1"/>
  <c r="AQ7" i="1"/>
  <c r="AG7" i="1"/>
  <c r="AB7" i="1"/>
  <c r="W3" i="15" s="1"/>
  <c r="X7" i="1"/>
  <c r="V3" i="15" s="1"/>
  <c r="T7" i="1"/>
  <c r="U3" i="15" s="1"/>
  <c r="P7" i="1"/>
  <c r="T3" i="15" s="1"/>
  <c r="L7" i="1"/>
  <c r="S3" i="15" s="1"/>
  <c r="G7" i="1"/>
  <c r="B8" i="11" s="1"/>
  <c r="B7" i="1"/>
  <c r="A8" i="11" s="1"/>
  <c r="AO6" i="1"/>
  <c r="AC5" i="1"/>
  <c r="AB5" i="1"/>
  <c r="AA5" i="1"/>
  <c r="Y5" i="1"/>
  <c r="X5" i="1"/>
  <c r="W5" i="1"/>
  <c r="U5" i="1"/>
  <c r="T5" i="1"/>
  <c r="S5" i="1"/>
  <c r="Q5" i="1"/>
  <c r="P5" i="1"/>
  <c r="O5" i="1"/>
  <c r="AC1" i="1"/>
  <c r="AA1" i="1"/>
  <c r="Y1" i="1"/>
  <c r="W1" i="1"/>
  <c r="U1" i="1"/>
  <c r="S1" i="1"/>
  <c r="Q1" i="1"/>
  <c r="O1" i="1"/>
  <c r="M1" i="1"/>
  <c r="K1" i="1"/>
  <c r="B98" i="7"/>
  <c r="B90" i="7"/>
  <c r="B82" i="7"/>
  <c r="B74" i="7"/>
  <c r="B66" i="7"/>
  <c r="B58" i="7"/>
  <c r="B50" i="7"/>
  <c r="B42" i="7"/>
  <c r="B34" i="7"/>
  <c r="B26" i="7"/>
  <c r="B18" i="7"/>
  <c r="B93" i="7"/>
  <c r="B85" i="7"/>
  <c r="B77" i="7"/>
  <c r="B69" i="7"/>
  <c r="B61" i="7"/>
  <c r="B53" i="7"/>
  <c r="B45" i="7"/>
  <c r="B37" i="7"/>
  <c r="B29" i="7"/>
  <c r="B21" i="7"/>
  <c r="B11" i="7"/>
  <c r="B12" i="7"/>
  <c r="B80" i="7"/>
  <c r="B56" i="7"/>
  <c r="B32" i="7"/>
  <c r="B91" i="7"/>
  <c r="B67" i="7"/>
  <c r="B43" i="7"/>
  <c r="B9" i="7"/>
  <c r="B88" i="7"/>
  <c r="B19" i="7"/>
  <c r="B17" i="7"/>
  <c r="B94" i="7"/>
  <c r="B86" i="7"/>
  <c r="B78" i="7"/>
  <c r="B70" i="7"/>
  <c r="B62" i="7"/>
  <c r="B54" i="7"/>
  <c r="B46" i="7"/>
  <c r="B38" i="7"/>
  <c r="B30" i="7"/>
  <c r="B22" i="7"/>
  <c r="B97" i="7"/>
  <c r="B89" i="7"/>
  <c r="B81" i="7"/>
  <c r="B73" i="7"/>
  <c r="B65" i="7"/>
  <c r="B57" i="7"/>
  <c r="B49" i="7"/>
  <c r="B41" i="7"/>
  <c r="B33" i="7"/>
  <c r="B25" i="7"/>
  <c r="B15" i="7"/>
  <c r="B7" i="7"/>
  <c r="B6" i="7"/>
  <c r="B72" i="7"/>
  <c r="B48" i="7"/>
  <c r="B24" i="7"/>
  <c r="B83" i="7"/>
  <c r="B59" i="7"/>
  <c r="B35" i="7"/>
  <c r="B14" i="7"/>
  <c r="B100" i="7"/>
  <c r="B92" i="7"/>
  <c r="B84" i="7"/>
  <c r="B76" i="7"/>
  <c r="B68" i="7"/>
  <c r="B60" i="7"/>
  <c r="B52" i="7"/>
  <c r="B44" i="7"/>
  <c r="B36" i="7"/>
  <c r="B28" i="7"/>
  <c r="B20" i="7"/>
  <c r="B95" i="7"/>
  <c r="B87" i="7"/>
  <c r="B79" i="7"/>
  <c r="B71" i="7"/>
  <c r="B63" i="7"/>
  <c r="B55" i="7"/>
  <c r="B47" i="7"/>
  <c r="B39" i="7"/>
  <c r="B31" i="7"/>
  <c r="B23" i="7"/>
  <c r="B13" i="7"/>
  <c r="B10" i="7"/>
  <c r="B8" i="7"/>
  <c r="B16" i="7"/>
  <c r="B96" i="7"/>
  <c r="B64" i="7"/>
  <c r="B40" i="7"/>
  <c r="B99" i="7"/>
  <c r="B75" i="7"/>
  <c r="B51" i="7"/>
  <c r="B27" i="7"/>
  <c r="AC19" i="6" l="1"/>
  <c r="AC18" i="6"/>
  <c r="AC14" i="6"/>
  <c r="AC7" i="6"/>
  <c r="AC16" i="6"/>
  <c r="AC17" i="6"/>
  <c r="AC13" i="6"/>
  <c r="AC11" i="6"/>
  <c r="AC9" i="6"/>
  <c r="AC5" i="6"/>
  <c r="AC15" i="6"/>
  <c r="AC12" i="6"/>
  <c r="AC6" i="6"/>
  <c r="AC10" i="6"/>
  <c r="AC8" i="6"/>
  <c r="M18" i="1"/>
  <c r="AC18" i="1"/>
  <c r="Y14" i="5"/>
  <c r="AB9" i="5"/>
  <c r="AC9" i="5"/>
  <c r="Y12" i="5"/>
  <c r="AE24" i="5"/>
  <c r="T20" i="5"/>
  <c r="Z27" i="5" s="1"/>
  <c r="Z25" i="5"/>
  <c r="AC24" i="5"/>
  <c r="S22" i="5"/>
  <c r="Z21" i="5"/>
  <c r="C50" i="5"/>
  <c r="C57" i="5"/>
  <c r="C59" i="5" s="1"/>
  <c r="C134" i="5"/>
  <c r="C106" i="5"/>
  <c r="C78" i="5"/>
  <c r="J7" i="1"/>
  <c r="I7" i="1" s="1"/>
  <c r="Q7" i="1"/>
  <c r="Y7" i="1"/>
  <c r="Q19" i="1"/>
  <c r="Y19" i="1"/>
  <c r="M21" i="1"/>
  <c r="U21" i="1"/>
  <c r="AC21" i="1"/>
  <c r="Q23" i="1"/>
  <c r="Y23" i="1"/>
  <c r="M25" i="1"/>
  <c r="U25" i="1"/>
  <c r="AC25" i="1"/>
  <c r="Q27" i="1"/>
  <c r="Y27" i="1"/>
  <c r="U29" i="1"/>
  <c r="B7" i="13"/>
  <c r="H8" i="3"/>
  <c r="G8" i="3" s="1"/>
  <c r="L8" i="3"/>
  <c r="AB8" i="3"/>
  <c r="A13" i="13" s="1"/>
  <c r="AJ8" i="3"/>
  <c r="AD7" i="5"/>
  <c r="BP3" i="5"/>
  <c r="P6" i="5"/>
  <c r="Y15" i="5" s="1"/>
  <c r="AD8" i="5"/>
  <c r="M9" i="1"/>
  <c r="A25" i="11" s="1"/>
  <c r="AC9" i="1"/>
  <c r="A28" i="11" s="1"/>
  <c r="U10" i="1"/>
  <c r="A35" i="11" s="1"/>
  <c r="AC10" i="1"/>
  <c r="U11" i="1"/>
  <c r="A43" i="11" s="1"/>
  <c r="AC11" i="1"/>
  <c r="M12" i="1"/>
  <c r="A49" i="11" s="1"/>
  <c r="U12" i="1"/>
  <c r="A51" i="11" s="1"/>
  <c r="AC12" i="1"/>
  <c r="M13" i="1"/>
  <c r="A57" i="11" s="1"/>
  <c r="AC13" i="1"/>
  <c r="M14" i="1"/>
  <c r="A65" i="11" s="1"/>
  <c r="AC14" i="1"/>
  <c r="U15" i="1"/>
  <c r="A75" i="11" s="1"/>
  <c r="AC15" i="1"/>
  <c r="U16" i="1"/>
  <c r="A83" i="11" s="1"/>
  <c r="AC16" i="1"/>
  <c r="J18" i="1"/>
  <c r="I18" i="1" s="1"/>
  <c r="Q18" i="1"/>
  <c r="Y18" i="1"/>
  <c r="M20" i="1"/>
  <c r="U20" i="1"/>
  <c r="AC20" i="1"/>
  <c r="Q22" i="1"/>
  <c r="Y22" i="1"/>
  <c r="M24" i="1"/>
  <c r="U24" i="1"/>
  <c r="AC24" i="1"/>
  <c r="Q26" i="1"/>
  <c r="Y26" i="1"/>
  <c r="M28" i="1"/>
  <c r="U28" i="1"/>
  <c r="AC28" i="1"/>
  <c r="Q30" i="1"/>
  <c r="Y30" i="1"/>
  <c r="Y9" i="5"/>
  <c r="Y30" i="5"/>
  <c r="AE23" i="5"/>
  <c r="Y31" i="5"/>
  <c r="Y24" i="5"/>
  <c r="AB23" i="5"/>
  <c r="Y21" i="5"/>
  <c r="AB21" i="5"/>
  <c r="C22" i="5"/>
  <c r="Y22" i="5"/>
  <c r="Y23" i="5"/>
  <c r="AD23" i="5"/>
  <c r="AD24" i="5"/>
  <c r="Z28" i="5"/>
  <c r="Z31" i="5"/>
  <c r="W46" i="5"/>
  <c r="W43" i="5"/>
  <c r="AD35" i="5"/>
  <c r="W40" i="5"/>
  <c r="W36" i="5"/>
  <c r="AC35" i="5"/>
  <c r="X36" i="5"/>
  <c r="Z39" i="5"/>
  <c r="Y40" i="5"/>
  <c r="Y41" i="5"/>
  <c r="W42" i="5"/>
  <c r="K50" i="5"/>
  <c r="L48" i="5"/>
  <c r="S50" i="5"/>
  <c r="L272" i="5"/>
  <c r="K274" i="5"/>
  <c r="A26" i="11"/>
  <c r="A58" i="11"/>
  <c r="A82" i="11"/>
  <c r="U18" i="1"/>
  <c r="A99" i="11" s="1"/>
  <c r="C11" i="15"/>
  <c r="E11" i="15" s="1"/>
  <c r="C17" i="2"/>
  <c r="C617" i="5"/>
  <c r="C589" i="5"/>
  <c r="C561" i="5"/>
  <c r="C533" i="5"/>
  <c r="C505" i="5"/>
  <c r="C477" i="5"/>
  <c r="C449" i="5"/>
  <c r="C421" i="5"/>
  <c r="C393" i="5"/>
  <c r="C365" i="5"/>
  <c r="C337" i="5"/>
  <c r="C309" i="5"/>
  <c r="C631" i="5"/>
  <c r="C603" i="5"/>
  <c r="C575" i="5"/>
  <c r="C547" i="5"/>
  <c r="C519" i="5"/>
  <c r="C491" i="5"/>
  <c r="C463" i="5"/>
  <c r="C435" i="5"/>
  <c r="C407" i="5"/>
  <c r="C379" i="5"/>
  <c r="C351" i="5"/>
  <c r="C323" i="5"/>
  <c r="C141" i="5"/>
  <c r="C143" i="5" s="1"/>
  <c r="C113" i="5"/>
  <c r="C115" i="5" s="1"/>
  <c r="C85" i="5"/>
  <c r="C87" i="5" s="1"/>
  <c r="C253" i="5"/>
  <c r="C169" i="5"/>
  <c r="C155" i="5"/>
  <c r="C157" i="5" s="1"/>
  <c r="C127" i="5"/>
  <c r="C129" i="5" s="1"/>
  <c r="C99" i="5"/>
  <c r="C101" i="5" s="1"/>
  <c r="C71" i="5"/>
  <c r="C73" i="5" s="1"/>
  <c r="C267" i="5"/>
  <c r="C211" i="5"/>
  <c r="C183" i="5"/>
  <c r="C281" i="5"/>
  <c r="C225" i="5"/>
  <c r="C197" i="5"/>
  <c r="U58" i="5"/>
  <c r="A62" i="5"/>
  <c r="A76" i="5" s="1"/>
  <c r="A90" i="5" s="1"/>
  <c r="A104" i="5" s="1"/>
  <c r="A118" i="5" s="1"/>
  <c r="A132" i="5" s="1"/>
  <c r="A146" i="5" s="1"/>
  <c r="A160" i="5" s="1"/>
  <c r="A174" i="5" s="1"/>
  <c r="A188" i="5" s="1"/>
  <c r="A202" i="5" s="1"/>
  <c r="A216" i="5" s="1"/>
  <c r="A230" i="5" s="1"/>
  <c r="A244" i="5" s="1"/>
  <c r="A258" i="5" s="1"/>
  <c r="A272" i="5" s="1"/>
  <c r="A286" i="5" s="1"/>
  <c r="A300" i="5" s="1"/>
  <c r="A314" i="5" s="1"/>
  <c r="A328" i="5" s="1"/>
  <c r="A342" i="5" s="1"/>
  <c r="A356" i="5" s="1"/>
  <c r="A370" i="5" s="1"/>
  <c r="A384" i="5" s="1"/>
  <c r="A398" i="5" s="1"/>
  <c r="A412" i="5" s="1"/>
  <c r="A426" i="5" s="1"/>
  <c r="A440" i="5" s="1"/>
  <c r="A454" i="5" s="1"/>
  <c r="A468" i="5" s="1"/>
  <c r="A482" i="5" s="1"/>
  <c r="A496" i="5" s="1"/>
  <c r="A510" i="5" s="1"/>
  <c r="A524" i="5" s="1"/>
  <c r="A538" i="5" s="1"/>
  <c r="A552" i="5" s="1"/>
  <c r="A566" i="5" s="1"/>
  <c r="A580" i="5" s="1"/>
  <c r="A594" i="5" s="1"/>
  <c r="A608" i="5" s="1"/>
  <c r="A622" i="5" s="1"/>
  <c r="M7" i="1"/>
  <c r="A9" i="11" s="1"/>
  <c r="U7" i="1"/>
  <c r="AC7" i="1"/>
  <c r="M8" i="1"/>
  <c r="U8" i="1"/>
  <c r="A90" i="11"/>
  <c r="P8" i="3"/>
  <c r="A10" i="13" s="1"/>
  <c r="X8" i="3"/>
  <c r="A12" i="13" s="1"/>
  <c r="AF8" i="3"/>
  <c r="A14" i="13" s="1"/>
  <c r="B17" i="13"/>
  <c r="AF9" i="3"/>
  <c r="A24" i="13" s="1"/>
  <c r="X9" i="3"/>
  <c r="A22" i="13" s="1"/>
  <c r="P9" i="3"/>
  <c r="A20" i="13" s="1"/>
  <c r="L9" i="3"/>
  <c r="B11" i="3"/>
  <c r="D15" i="3"/>
  <c r="Y16" i="5"/>
  <c r="Y17" i="5"/>
  <c r="W28" i="5"/>
  <c r="W27" i="5"/>
  <c r="W26" i="5"/>
  <c r="W25" i="5"/>
  <c r="W24" i="5"/>
  <c r="W23" i="5"/>
  <c r="W22" i="5"/>
  <c r="G22" i="5"/>
  <c r="AE21" i="5"/>
  <c r="W21" i="5"/>
  <c r="AC21" i="5"/>
  <c r="AD21" i="5"/>
  <c r="Z22" i="5"/>
  <c r="AD22" i="5"/>
  <c r="Z23" i="5"/>
  <c r="Z24" i="5"/>
  <c r="Y25" i="5"/>
  <c r="W29" i="5"/>
  <c r="Z30" i="5"/>
  <c r="W32" i="5"/>
  <c r="G36" i="5"/>
  <c r="Y36" i="5"/>
  <c r="W37" i="5"/>
  <c r="Z41" i="5"/>
  <c r="U44" i="5"/>
  <c r="O50" i="5"/>
  <c r="P48" i="5"/>
  <c r="L216" i="5"/>
  <c r="K218" i="5" s="1"/>
  <c r="O232" i="5"/>
  <c r="L258" i="5"/>
  <c r="K260" i="5" s="1"/>
  <c r="O274" i="5"/>
  <c r="C295" i="5"/>
  <c r="A50" i="11"/>
  <c r="A66" i="11"/>
  <c r="A25" i="13"/>
  <c r="Y18" i="5"/>
  <c r="T202" i="5"/>
  <c r="S204" i="5" s="1"/>
  <c r="J8" i="1"/>
  <c r="I8" i="1" s="1"/>
  <c r="Q8" i="1"/>
  <c r="A18" i="11" s="1"/>
  <c r="Y8" i="1"/>
  <c r="M17" i="1"/>
  <c r="A89" i="11" s="1"/>
  <c r="U17" i="1"/>
  <c r="A91" i="11" s="1"/>
  <c r="AC17" i="1"/>
  <c r="M29" i="1"/>
  <c r="AC29" i="1"/>
  <c r="T8" i="3"/>
  <c r="A11" i="13" s="1"/>
  <c r="B26" i="14"/>
  <c r="A26" i="14"/>
  <c r="A316" i="14" s="1"/>
  <c r="B9" i="4"/>
  <c r="AD9" i="5"/>
  <c r="AD10" i="5"/>
  <c r="Y13" i="5"/>
  <c r="AB24" i="5"/>
  <c r="C29" i="5"/>
  <c r="C31" i="5" s="1"/>
  <c r="U30" i="5"/>
  <c r="X46" i="5"/>
  <c r="X45" i="5"/>
  <c r="X43" i="5"/>
  <c r="X37" i="5"/>
  <c r="X35" i="5"/>
  <c r="X40" i="5"/>
  <c r="C43" i="5"/>
  <c r="C45" i="5" s="1"/>
  <c r="Z45" i="5"/>
  <c r="Z46" i="5"/>
  <c r="G48" i="5"/>
  <c r="G50" i="5" s="1"/>
  <c r="K204" i="5"/>
  <c r="L202" i="5"/>
  <c r="O162" i="5"/>
  <c r="T244" i="5"/>
  <c r="S246" i="5" s="1"/>
  <c r="S288" i="5"/>
  <c r="S302" i="5"/>
  <c r="S470" i="5"/>
  <c r="S526" i="5"/>
  <c r="F9" i="9"/>
  <c r="E8" i="9"/>
  <c r="A63" i="9"/>
  <c r="B62" i="9"/>
  <c r="C160" i="15" s="1"/>
  <c r="L188" i="5"/>
  <c r="K190" i="5" s="1"/>
  <c r="K232" i="5"/>
  <c r="O260" i="5"/>
  <c r="P272" i="5"/>
  <c r="O344" i="5"/>
  <c r="O400" i="5"/>
  <c r="O512" i="5"/>
  <c r="O568" i="5"/>
  <c r="O624" i="5"/>
  <c r="C148" i="5"/>
  <c r="C120" i="5"/>
  <c r="C92" i="5"/>
  <c r="C64" i="5"/>
  <c r="B37" i="13"/>
  <c r="AJ11" i="3"/>
  <c r="AB11" i="3"/>
  <c r="A43" i="13" s="1"/>
  <c r="T11" i="3"/>
  <c r="A41" i="13" s="1"/>
  <c r="L11" i="3"/>
  <c r="A39" i="13" s="1"/>
  <c r="X11" i="3"/>
  <c r="A42" i="13" s="1"/>
  <c r="C36" i="5"/>
  <c r="Z9" i="5"/>
  <c r="X15" i="5"/>
  <c r="AE22" i="5"/>
  <c r="L20" i="5"/>
  <c r="X28" i="5" s="1"/>
  <c r="X26" i="5"/>
  <c r="Y45" i="5"/>
  <c r="AD37" i="5"/>
  <c r="AC37" i="5"/>
  <c r="Y38" i="5"/>
  <c r="Y39" i="5"/>
  <c r="Y42" i="5"/>
  <c r="S64" i="5"/>
  <c r="K78" i="5"/>
  <c r="S92" i="5"/>
  <c r="K106" i="5"/>
  <c r="S120" i="5"/>
  <c r="K134" i="5"/>
  <c r="S148" i="5"/>
  <c r="L174" i="5"/>
  <c r="K176" i="5" s="1"/>
  <c r="O190" i="5"/>
  <c r="T216" i="5"/>
  <c r="S218" i="5" s="1"/>
  <c r="L230" i="5"/>
  <c r="K246" i="5"/>
  <c r="T272" i="5"/>
  <c r="S274" i="5" s="1"/>
  <c r="L286" i="5"/>
  <c r="K288" i="5" s="1"/>
  <c r="O302" i="5"/>
  <c r="K302" i="5"/>
  <c r="S330" i="5"/>
  <c r="O358" i="5"/>
  <c r="O414" i="5"/>
  <c r="S442" i="5"/>
  <c r="O470" i="5"/>
  <c r="O526" i="5"/>
  <c r="S554" i="5"/>
  <c r="O582" i="5"/>
  <c r="B14" i="10"/>
  <c r="AE8" i="5"/>
  <c r="X9" i="5"/>
  <c r="AC10" i="5"/>
  <c r="Z11" i="5"/>
  <c r="X13" i="5"/>
  <c r="Z35" i="5"/>
  <c r="S36" i="5"/>
  <c r="Z36" i="5"/>
  <c r="AD36" i="5"/>
  <c r="Z37" i="5"/>
  <c r="Z38" i="5"/>
  <c r="AD38" i="5"/>
  <c r="X39" i="5"/>
  <c r="Z40" i="5"/>
  <c r="X41" i="5"/>
  <c r="T300" i="5"/>
  <c r="P314" i="5"/>
  <c r="O316" i="5" s="1"/>
  <c r="T328" i="5"/>
  <c r="P342" i="5"/>
  <c r="T356" i="5"/>
  <c r="S358" i="5" s="1"/>
  <c r="P370" i="5"/>
  <c r="O372" i="5" s="1"/>
  <c r="T384" i="5"/>
  <c r="S386" i="5" s="1"/>
  <c r="P398" i="5"/>
  <c r="T412" i="5"/>
  <c r="S414" i="5" s="1"/>
  <c r="P426" i="5"/>
  <c r="O428" i="5" s="1"/>
  <c r="T440" i="5"/>
  <c r="P454" i="5"/>
  <c r="O456" i="5" s="1"/>
  <c r="T468" i="5"/>
  <c r="P482" i="5"/>
  <c r="O484" i="5" s="1"/>
  <c r="T496" i="5"/>
  <c r="S498" i="5" s="1"/>
  <c r="P510" i="5"/>
  <c r="T524" i="5"/>
  <c r="P538" i="5"/>
  <c r="O540" i="5" s="1"/>
  <c r="T552" i="5"/>
  <c r="P566" i="5"/>
  <c r="T580" i="5"/>
  <c r="S582" i="5" s="1"/>
  <c r="P594" i="5"/>
  <c r="O596" i="5" s="1"/>
  <c r="T608" i="5"/>
  <c r="S610" i="5" s="1"/>
  <c r="P622" i="5"/>
  <c r="C16" i="6"/>
  <c r="C6" i="6"/>
  <c r="C8" i="6"/>
  <c r="C10" i="6"/>
  <c r="C12" i="6"/>
  <c r="C15" i="6"/>
  <c r="C9" i="6"/>
  <c r="C11" i="6"/>
  <c r="C13" i="6"/>
  <c r="A248" i="9"/>
  <c r="B246" i="9"/>
  <c r="C344" i="15" s="1"/>
  <c r="B895" i="12"/>
  <c r="B893" i="12"/>
  <c r="B891" i="12"/>
  <c r="B889" i="12"/>
  <c r="B887" i="12"/>
  <c r="U109" i="15"/>
  <c r="B896" i="12"/>
  <c r="B894" i="12"/>
  <c r="B892" i="12"/>
  <c r="B890" i="12"/>
  <c r="B888" i="12"/>
  <c r="A896" i="12"/>
  <c r="A894" i="12"/>
  <c r="A892" i="12"/>
  <c r="A890" i="12"/>
  <c r="A888" i="12"/>
  <c r="S127" i="15"/>
  <c r="U130" i="15"/>
  <c r="T129" i="15"/>
  <c r="S128" i="15"/>
  <c r="V127" i="15"/>
  <c r="T125" i="15"/>
  <c r="S124" i="15"/>
  <c r="U122" i="15"/>
  <c r="S120" i="15"/>
  <c r="U118" i="15"/>
  <c r="T117" i="15"/>
  <c r="S116" i="15"/>
  <c r="U114" i="15"/>
  <c r="T113" i="15"/>
  <c r="S112" i="15"/>
  <c r="U110" i="15"/>
  <c r="T109" i="15"/>
  <c r="S108" i="15"/>
  <c r="U106" i="15"/>
  <c r="T130" i="15"/>
  <c r="S129" i="15"/>
  <c r="U127" i="15"/>
  <c r="S125" i="15"/>
  <c r="U123" i="15"/>
  <c r="T122" i="15"/>
  <c r="S121" i="15"/>
  <c r="U119" i="15"/>
  <c r="T118" i="15"/>
  <c r="S117" i="15"/>
  <c r="U115" i="15"/>
  <c r="T114" i="15"/>
  <c r="S113" i="15"/>
  <c r="U111" i="15"/>
  <c r="T110" i="15"/>
  <c r="S109" i="15"/>
  <c r="U107" i="15"/>
  <c r="T106" i="15"/>
  <c r="S130" i="15"/>
  <c r="U128" i="15"/>
  <c r="T127" i="15"/>
  <c r="S126" i="15"/>
  <c r="U124" i="15"/>
  <c r="T123" i="15"/>
  <c r="S122" i="15"/>
  <c r="U120" i="15"/>
  <c r="T119" i="15"/>
  <c r="S118" i="15"/>
  <c r="V117" i="15"/>
  <c r="U116" i="15"/>
  <c r="T115" i="15"/>
  <c r="S114" i="15"/>
  <c r="U112" i="15"/>
  <c r="T111" i="15"/>
  <c r="S110" i="15"/>
  <c r="U108" i="15"/>
  <c r="T107" i="15"/>
  <c r="S106" i="15"/>
  <c r="T128" i="15"/>
  <c r="W127" i="15"/>
  <c r="V122" i="15"/>
  <c r="T120" i="15"/>
  <c r="T112" i="15"/>
  <c r="T124" i="15"/>
  <c r="T116" i="15"/>
  <c r="T108" i="15"/>
  <c r="U129" i="15"/>
  <c r="S123" i="15"/>
  <c r="S115" i="15"/>
  <c r="U113" i="15"/>
  <c r="S107" i="15"/>
  <c r="S111" i="15"/>
  <c r="U125" i="15"/>
  <c r="U117" i="15"/>
  <c r="S119" i="15"/>
  <c r="F108" i="15"/>
  <c r="F116" i="15"/>
  <c r="F124" i="15"/>
  <c r="F147" i="15"/>
  <c r="F153" i="15"/>
  <c r="F169" i="15"/>
  <c r="F193" i="15"/>
  <c r="F182" i="15"/>
  <c r="F190" i="15"/>
  <c r="F198" i="15"/>
  <c r="F214" i="15"/>
  <c r="F230" i="15"/>
  <c r="F242" i="15"/>
  <c r="F250" i="15"/>
  <c r="F258" i="15"/>
  <c r="F278" i="15"/>
  <c r="F284" i="15"/>
  <c r="F292" i="15"/>
  <c r="F300" i="15"/>
  <c r="F308" i="15"/>
  <c r="F186" i="15"/>
  <c r="F194" i="15"/>
  <c r="F206" i="15"/>
  <c r="F222" i="15"/>
  <c r="B248" i="9" l="1"/>
  <c r="C346" i="15" s="1"/>
  <c r="A249" i="9"/>
  <c r="D16" i="3"/>
  <c r="A17" i="11"/>
  <c r="X29" i="5"/>
  <c r="I9" i="3"/>
  <c r="A119" i="14"/>
  <c r="G13" i="4"/>
  <c r="A19" i="13"/>
  <c r="A138" i="14"/>
  <c r="AE38" i="5"/>
  <c r="AE35" i="5"/>
  <c r="AE37" i="5"/>
  <c r="AE36" i="5"/>
  <c r="AE10" i="5"/>
  <c r="BQ3" i="5"/>
  <c r="AE7" i="5"/>
  <c r="A9" i="13"/>
  <c r="Z32" i="5"/>
  <c r="Y8" i="5"/>
  <c r="Y7" i="5"/>
  <c r="A74" i="11"/>
  <c r="B63" i="9"/>
  <c r="C161" i="15" s="1"/>
  <c r="A64" i="9"/>
  <c r="B44" i="14"/>
  <c r="A44" i="14"/>
  <c r="B10" i="4"/>
  <c r="A34" i="11"/>
  <c r="A19" i="11"/>
  <c r="A98" i="11"/>
  <c r="Z29" i="5"/>
  <c r="AE9" i="5"/>
  <c r="Y10" i="5"/>
  <c r="A97" i="11"/>
  <c r="X27" i="5"/>
  <c r="K22" i="5"/>
  <c r="X21" i="5"/>
  <c r="X25" i="5"/>
  <c r="X24" i="5"/>
  <c r="X22" i="5"/>
  <c r="X31" i="5"/>
  <c r="A15" i="13"/>
  <c r="I8" i="3"/>
  <c r="B15" i="10"/>
  <c r="X30" i="5"/>
  <c r="X23" i="5"/>
  <c r="X32" i="5"/>
  <c r="A45" i="13"/>
  <c r="I11" i="3"/>
  <c r="F10" i="9"/>
  <c r="E9" i="9"/>
  <c r="A38" i="13"/>
  <c r="B12" i="3"/>
  <c r="C12" i="15"/>
  <c r="E12" i="15" s="1"/>
  <c r="C18" i="2"/>
  <c r="A10" i="11"/>
  <c r="A11" i="11"/>
  <c r="Z26" i="5"/>
  <c r="O8" i="5"/>
  <c r="Y11" i="5"/>
  <c r="A42" i="11"/>
  <c r="A65" i="9" l="1"/>
  <c r="B64" i="9"/>
  <c r="C162" i="15" s="1"/>
  <c r="AF35" i="5"/>
  <c r="AF37" i="5"/>
  <c r="AF36" i="5"/>
  <c r="AF23" i="5"/>
  <c r="AF10" i="5"/>
  <c r="BR3" i="5"/>
  <c r="AF8" i="5"/>
  <c r="AF7" i="5"/>
  <c r="AF38" i="5"/>
  <c r="AF21" i="5"/>
  <c r="AF9" i="5"/>
  <c r="AF22" i="5"/>
  <c r="AF24" i="5"/>
  <c r="B16" i="10"/>
  <c r="A156" i="14"/>
  <c r="A137" i="14"/>
  <c r="G14" i="4"/>
  <c r="A250" i="9"/>
  <c r="B249" i="9"/>
  <c r="C347" i="15" s="1"/>
  <c r="C13" i="15"/>
  <c r="E13" i="15" s="1"/>
  <c r="C19" i="2"/>
  <c r="D17" i="3"/>
  <c r="A48" i="13"/>
  <c r="B13" i="3"/>
  <c r="F11" i="9"/>
  <c r="E10" i="9"/>
  <c r="B62" i="14"/>
  <c r="A62" i="14"/>
  <c r="B11" i="4"/>
  <c r="E11" i="9" l="1"/>
  <c r="F12" i="9"/>
  <c r="C14" i="15"/>
  <c r="E14" i="15" s="1"/>
  <c r="C20" i="2"/>
  <c r="A155" i="14"/>
  <c r="G15" i="4"/>
  <c r="B14" i="3"/>
  <c r="C13" i="3"/>
  <c r="B80" i="14"/>
  <c r="A80" i="14"/>
  <c r="B12" i="4"/>
  <c r="D18" i="3"/>
  <c r="A251" i="9"/>
  <c r="B250" i="9"/>
  <c r="C348" i="15" s="1"/>
  <c r="A174" i="14"/>
  <c r="B17" i="10"/>
  <c r="A66" i="9"/>
  <c r="B65" i="9"/>
  <c r="C163" i="15" s="1"/>
  <c r="AG36" i="5"/>
  <c r="AG7" i="5"/>
  <c r="BS3" i="5"/>
  <c r="AG38" i="5"/>
  <c r="AG37" i="5"/>
  <c r="AG8" i="5"/>
  <c r="AG21" i="5"/>
  <c r="AG22" i="5"/>
  <c r="AG35" i="5"/>
  <c r="AG24" i="5"/>
  <c r="AG23" i="5"/>
  <c r="AG10" i="5"/>
  <c r="AG9" i="5"/>
  <c r="A67" i="9" l="1"/>
  <c r="B66" i="9"/>
  <c r="C164" i="15" s="1"/>
  <c r="B58" i="13"/>
  <c r="B65" i="13"/>
  <c r="B64" i="13"/>
  <c r="B63" i="13"/>
  <c r="B62" i="13"/>
  <c r="B61" i="13"/>
  <c r="B60" i="13"/>
  <c r="B59" i="13"/>
  <c r="A58" i="13"/>
  <c r="A57" i="13"/>
  <c r="V13" i="3"/>
  <c r="J13" i="3"/>
  <c r="AH13" i="3"/>
  <c r="AD13" i="3"/>
  <c r="Z13" i="3"/>
  <c r="N13" i="3"/>
  <c r="R13" i="3"/>
  <c r="A192" i="14"/>
  <c r="B98" i="14"/>
  <c r="A98" i="14"/>
  <c r="B13" i="4"/>
  <c r="C15" i="15"/>
  <c r="E15" i="15" s="1"/>
  <c r="C21" i="2"/>
  <c r="AH7" i="5"/>
  <c r="BT3" i="5"/>
  <c r="AH10" i="5"/>
  <c r="AH8" i="5"/>
  <c r="AH22" i="5"/>
  <c r="AH23" i="5"/>
  <c r="AH9" i="5"/>
  <c r="AH37" i="5"/>
  <c r="AH36" i="5"/>
  <c r="AH24" i="5"/>
  <c r="AH35" i="5"/>
  <c r="AH21" i="5"/>
  <c r="AH38" i="5"/>
  <c r="D19" i="3"/>
  <c r="A173" i="14"/>
  <c r="G16" i="4"/>
  <c r="F13" i="9"/>
  <c r="E12" i="9"/>
  <c r="B18" i="10"/>
  <c r="B251" i="9"/>
  <c r="C349" i="15" s="1"/>
  <c r="A252" i="9"/>
  <c r="C14" i="3"/>
  <c r="B15" i="3"/>
  <c r="A210" i="14" l="1"/>
  <c r="F14" i="9"/>
  <c r="E13" i="9"/>
  <c r="D20" i="3"/>
  <c r="B116" i="14"/>
  <c r="A116" i="14"/>
  <c r="B14" i="4"/>
  <c r="AI36" i="5"/>
  <c r="AI10" i="5"/>
  <c r="AI7" i="5"/>
  <c r="BU3" i="5"/>
  <c r="AI38" i="5"/>
  <c r="AI24" i="5"/>
  <c r="AI9" i="5"/>
  <c r="AI35" i="5"/>
  <c r="AI23" i="5"/>
  <c r="AI21" i="5"/>
  <c r="AI22" i="5"/>
  <c r="AI37" i="5"/>
  <c r="AI8" i="5"/>
  <c r="C15" i="3"/>
  <c r="B16" i="3"/>
  <c r="B252" i="9"/>
  <c r="C350" i="15" s="1"/>
  <c r="A253" i="9"/>
  <c r="B67" i="9"/>
  <c r="C165" i="15" s="1"/>
  <c r="A68" i="9"/>
  <c r="B68" i="13"/>
  <c r="B75" i="13"/>
  <c r="B74" i="13"/>
  <c r="B73" i="13"/>
  <c r="B72" i="13"/>
  <c r="B71" i="13"/>
  <c r="B70" i="13"/>
  <c r="B69" i="13"/>
  <c r="A68" i="13"/>
  <c r="A67" i="13"/>
  <c r="AH14" i="3"/>
  <c r="Z14" i="3"/>
  <c r="R14" i="3"/>
  <c r="J14" i="3"/>
  <c r="V14" i="3"/>
  <c r="AD14" i="3"/>
  <c r="N14" i="3"/>
  <c r="B19" i="10"/>
  <c r="A191" i="14"/>
  <c r="G17" i="4"/>
  <c r="C16" i="15"/>
  <c r="E16" i="15" s="1"/>
  <c r="C22" i="2"/>
  <c r="B20" i="10" l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E33" i="3" s="1"/>
  <c r="E30" i="3"/>
  <c r="E16" i="3"/>
  <c r="E18" i="3"/>
  <c r="E36" i="3"/>
  <c r="E32" i="3"/>
  <c r="E37" i="3"/>
  <c r="E15" i="3"/>
  <c r="T15" i="3" s="1"/>
  <c r="D21" i="3"/>
  <c r="A228" i="14"/>
  <c r="E12" i="3"/>
  <c r="AJ38" i="5"/>
  <c r="AJ23" i="5"/>
  <c r="AJ8" i="5"/>
  <c r="AJ7" i="5"/>
  <c r="AJ35" i="5"/>
  <c r="AJ37" i="5"/>
  <c r="AJ36" i="5"/>
  <c r="AJ22" i="5"/>
  <c r="AJ10" i="5"/>
  <c r="BV3" i="5"/>
  <c r="AJ9" i="5"/>
  <c r="AJ24" i="5"/>
  <c r="AJ21" i="5"/>
  <c r="B134" i="14"/>
  <c r="A134" i="14"/>
  <c r="B15" i="4"/>
  <c r="E19" i="3"/>
  <c r="E13" i="3"/>
  <c r="E38" i="3"/>
  <c r="A69" i="9"/>
  <c r="B68" i="9"/>
  <c r="C166" i="15" s="1"/>
  <c r="B17" i="3"/>
  <c r="C16" i="3"/>
  <c r="A209" i="14"/>
  <c r="G18" i="4"/>
  <c r="A254" i="9"/>
  <c r="B253" i="9"/>
  <c r="C351" i="15" s="1"/>
  <c r="C17" i="15"/>
  <c r="E17" i="15" s="1"/>
  <c r="C23" i="2"/>
  <c r="E39" i="3"/>
  <c r="B78" i="13"/>
  <c r="B77" i="13"/>
  <c r="B84" i="13"/>
  <c r="B83" i="13"/>
  <c r="B82" i="13"/>
  <c r="B81" i="13"/>
  <c r="B80" i="13"/>
  <c r="B79" i="13"/>
  <c r="B85" i="13"/>
  <c r="A78" i="13"/>
  <c r="A77" i="13"/>
  <c r="AF15" i="3"/>
  <c r="A84" i="13" s="1"/>
  <c r="P15" i="3"/>
  <c r="AH15" i="3"/>
  <c r="V15" i="3"/>
  <c r="AJ15" i="3"/>
  <c r="A85" i="13" s="1"/>
  <c r="AD15" i="3"/>
  <c r="N15" i="3"/>
  <c r="R15" i="3"/>
  <c r="Z15" i="3"/>
  <c r="J15" i="3"/>
  <c r="H15" i="3"/>
  <c r="G15" i="3" s="1"/>
  <c r="F15" i="9"/>
  <c r="E14" i="9"/>
  <c r="A80" i="13" l="1"/>
  <c r="A81" i="13"/>
  <c r="A70" i="9"/>
  <c r="B69" i="9"/>
  <c r="C167" i="15" s="1"/>
  <c r="B152" i="14"/>
  <c r="A152" i="14"/>
  <c r="B16" i="4"/>
  <c r="B47" i="13"/>
  <c r="H12" i="3"/>
  <c r="G12" i="3" s="1"/>
  <c r="AF12" i="3"/>
  <c r="A54" i="13" s="1"/>
  <c r="X12" i="3"/>
  <c r="A52" i="13" s="1"/>
  <c r="P12" i="3"/>
  <c r="A50" i="13" s="1"/>
  <c r="AJ12" i="3"/>
  <c r="T12" i="3"/>
  <c r="A51" i="13" s="1"/>
  <c r="L12" i="3"/>
  <c r="AB12" i="3"/>
  <c r="A53" i="13" s="1"/>
  <c r="E21" i="3"/>
  <c r="D22" i="3"/>
  <c r="AB15" i="3"/>
  <c r="A83" i="13" s="1"/>
  <c r="L15" i="3"/>
  <c r="A79" i="13" s="1"/>
  <c r="X15" i="3"/>
  <c r="A82" i="13" s="1"/>
  <c r="A255" i="9"/>
  <c r="B254" i="9"/>
  <c r="C352" i="15" s="1"/>
  <c r="B93" i="13"/>
  <c r="B89" i="13"/>
  <c r="B95" i="13"/>
  <c r="B91" i="13"/>
  <c r="A88" i="13"/>
  <c r="A87" i="13"/>
  <c r="B92" i="13"/>
  <c r="B94" i="13"/>
  <c r="B88" i="13"/>
  <c r="B87" i="13"/>
  <c r="B90" i="13"/>
  <c r="AD16" i="3"/>
  <c r="V16" i="3"/>
  <c r="N16" i="3"/>
  <c r="H16" i="3"/>
  <c r="G16" i="3" s="1"/>
  <c r="AH16" i="3"/>
  <c r="X16" i="3"/>
  <c r="A92" i="13" s="1"/>
  <c r="L16" i="3"/>
  <c r="AJ16" i="3"/>
  <c r="A95" i="13" s="1"/>
  <c r="AF16" i="3"/>
  <c r="A94" i="13" s="1"/>
  <c r="AB16" i="3"/>
  <c r="A93" i="13" s="1"/>
  <c r="P16" i="3"/>
  <c r="R16" i="3"/>
  <c r="Z16" i="3"/>
  <c r="J16" i="3"/>
  <c r="T16" i="3"/>
  <c r="A91" i="13" s="1"/>
  <c r="E20" i="3"/>
  <c r="E17" i="3"/>
  <c r="E34" i="3"/>
  <c r="C18" i="15"/>
  <c r="E18" i="15" s="1"/>
  <c r="C24" i="2"/>
  <c r="A227" i="14"/>
  <c r="G19" i="4"/>
  <c r="B18" i="3"/>
  <c r="C17" i="3"/>
  <c r="B57" i="13"/>
  <c r="L13" i="3"/>
  <c r="P13" i="3"/>
  <c r="AJ13" i="3"/>
  <c r="AF13" i="3"/>
  <c r="A64" i="13" s="1"/>
  <c r="X13" i="3"/>
  <c r="A62" i="13" s="1"/>
  <c r="AB13" i="3"/>
  <c r="A63" i="13" s="1"/>
  <c r="T13" i="3"/>
  <c r="H13" i="3"/>
  <c r="G13" i="3" s="1"/>
  <c r="AK38" i="5"/>
  <c r="AK37" i="5"/>
  <c r="AK36" i="5"/>
  <c r="AK35" i="5"/>
  <c r="BW3" i="5"/>
  <c r="AK8" i="5"/>
  <c r="AK7" i="5"/>
  <c r="AK24" i="5"/>
  <c r="AK10" i="5"/>
  <c r="AK9" i="5"/>
  <c r="AK21" i="5"/>
  <c r="AK23" i="5"/>
  <c r="AK22" i="5"/>
  <c r="A246" i="14"/>
  <c r="F16" i="9"/>
  <c r="E15" i="9"/>
  <c r="E10" i="3"/>
  <c r="E14" i="3"/>
  <c r="E35" i="3"/>
  <c r="A90" i="13" l="1"/>
  <c r="A49" i="13"/>
  <c r="A89" i="13"/>
  <c r="A61" i="13"/>
  <c r="AF14" i="3"/>
  <c r="A74" i="13" s="1"/>
  <c r="X14" i="3"/>
  <c r="A72" i="13" s="1"/>
  <c r="T14" i="3"/>
  <c r="AB14" i="3"/>
  <c r="A73" i="13" s="1"/>
  <c r="AJ14" i="3"/>
  <c r="L14" i="3"/>
  <c r="A69" i="13" s="1"/>
  <c r="H14" i="3"/>
  <c r="G14" i="3" s="1"/>
  <c r="B67" i="13"/>
  <c r="P14" i="3"/>
  <c r="A264" i="14"/>
  <c r="I13" i="3"/>
  <c r="A65" i="13"/>
  <c r="B104" i="13"/>
  <c r="B100" i="13"/>
  <c r="B98" i="13"/>
  <c r="B97" i="13"/>
  <c r="B102" i="13"/>
  <c r="B103" i="13"/>
  <c r="B99" i="13"/>
  <c r="B105" i="13"/>
  <c r="A98" i="13"/>
  <c r="B101" i="13"/>
  <c r="AJ17" i="3"/>
  <c r="A105" i="13" s="1"/>
  <c r="AB17" i="3"/>
  <c r="A103" i="13" s="1"/>
  <c r="T17" i="3"/>
  <c r="L17" i="3"/>
  <c r="AH17" i="3"/>
  <c r="X17" i="3"/>
  <c r="A102" i="13" s="1"/>
  <c r="N17" i="3"/>
  <c r="A97" i="13"/>
  <c r="AF17" i="3"/>
  <c r="A104" i="13" s="1"/>
  <c r="AD17" i="3"/>
  <c r="P17" i="3"/>
  <c r="A100" i="13" s="1"/>
  <c r="Z17" i="3"/>
  <c r="J17" i="3"/>
  <c r="V17" i="3"/>
  <c r="R17" i="3"/>
  <c r="H17" i="3"/>
  <c r="G17" i="3" s="1"/>
  <c r="B170" i="14"/>
  <c r="A170" i="14"/>
  <c r="B17" i="4"/>
  <c r="B27" i="13"/>
  <c r="AF10" i="3"/>
  <c r="A34" i="13" s="1"/>
  <c r="X10" i="3"/>
  <c r="A32" i="13" s="1"/>
  <c r="P10" i="3"/>
  <c r="T10" i="3"/>
  <c r="AB10" i="3"/>
  <c r="A33" i="13" s="1"/>
  <c r="H10" i="3"/>
  <c r="G10" i="3" s="1"/>
  <c r="AJ10" i="3"/>
  <c r="L10" i="3"/>
  <c r="A60" i="13"/>
  <c r="B19" i="3"/>
  <c r="C18" i="3"/>
  <c r="C19" i="15"/>
  <c r="E19" i="15" s="1"/>
  <c r="C25" i="2"/>
  <c r="B255" i="9"/>
  <c r="C353" i="15" s="1"/>
  <c r="A256" i="9"/>
  <c r="D23" i="3"/>
  <c r="E22" i="3"/>
  <c r="AL7" i="5"/>
  <c r="BX3" i="5"/>
  <c r="AL22" i="5"/>
  <c r="AL21" i="5"/>
  <c r="AL10" i="5"/>
  <c r="AL8" i="5"/>
  <c r="AL9" i="5"/>
  <c r="AL23" i="5"/>
  <c r="AL24" i="5"/>
  <c r="AL37" i="5"/>
  <c r="AL38" i="5"/>
  <c r="AL35" i="5"/>
  <c r="AL36" i="5"/>
  <c r="A59" i="13"/>
  <c r="I16" i="3"/>
  <c r="A55" i="13"/>
  <c r="I12" i="3"/>
  <c r="A71" i="9"/>
  <c r="B70" i="9"/>
  <c r="C168" i="15" s="1"/>
  <c r="F17" i="9"/>
  <c r="E16" i="9"/>
  <c r="A245" i="14"/>
  <c r="G20" i="4"/>
  <c r="I15" i="3"/>
  <c r="A29" i="13" l="1"/>
  <c r="A99" i="13"/>
  <c r="A101" i="13"/>
  <c r="A31" i="13"/>
  <c r="C20" i="15"/>
  <c r="E20" i="15" s="1"/>
  <c r="C26" i="2"/>
  <c r="D24" i="3"/>
  <c r="E23" i="3"/>
  <c r="B71" i="9"/>
  <c r="C169" i="15" s="1"/>
  <c r="A72" i="9"/>
  <c r="AM36" i="5"/>
  <c r="AM10" i="5"/>
  <c r="AM7" i="5"/>
  <c r="BY3" i="5"/>
  <c r="AM35" i="5"/>
  <c r="AM37" i="5"/>
  <c r="AM38" i="5"/>
  <c r="AM8" i="5"/>
  <c r="AM9" i="5"/>
  <c r="AM23" i="5"/>
  <c r="AM21" i="5"/>
  <c r="AM22" i="5"/>
  <c r="AM24" i="5"/>
  <c r="B256" i="9"/>
  <c r="C354" i="15" s="1"/>
  <c r="A257" i="9"/>
  <c r="B115" i="13"/>
  <c r="B111" i="13"/>
  <c r="A108" i="13"/>
  <c r="A107" i="13"/>
  <c r="B113" i="13"/>
  <c r="B109" i="13"/>
  <c r="B114" i="13"/>
  <c r="B110" i="13"/>
  <c r="B108" i="13"/>
  <c r="B107" i="13"/>
  <c r="B112" i="13"/>
  <c r="AH18" i="3"/>
  <c r="Z18" i="3"/>
  <c r="R18" i="3"/>
  <c r="J18" i="3"/>
  <c r="AJ18" i="3"/>
  <c r="A115" i="13" s="1"/>
  <c r="X18" i="3"/>
  <c r="A112" i="13" s="1"/>
  <c r="N18" i="3"/>
  <c r="AF18" i="3"/>
  <c r="A114" i="13" s="1"/>
  <c r="AD18" i="3"/>
  <c r="P18" i="3"/>
  <c r="H18" i="3"/>
  <c r="G18" i="3" s="1"/>
  <c r="AB18" i="3"/>
  <c r="A113" i="13" s="1"/>
  <c r="L18" i="3"/>
  <c r="V18" i="3"/>
  <c r="T18" i="3"/>
  <c r="A35" i="13"/>
  <c r="I10" i="3"/>
  <c r="B20" i="3"/>
  <c r="C19" i="3"/>
  <c r="I17" i="3"/>
  <c r="A282" i="14"/>
  <c r="A71" i="13"/>
  <c r="A263" i="14"/>
  <c r="G21" i="4"/>
  <c r="F18" i="9"/>
  <c r="E17" i="9"/>
  <c r="A30" i="13"/>
  <c r="B188" i="14"/>
  <c r="A188" i="14"/>
  <c r="B18" i="4"/>
  <c r="A70" i="13"/>
  <c r="I14" i="3"/>
  <c r="A75" i="13"/>
  <c r="A111" i="13" l="1"/>
  <c r="A109" i="13"/>
  <c r="A110" i="13"/>
  <c r="F19" i="9"/>
  <c r="E18" i="9"/>
  <c r="AN8" i="5"/>
  <c r="AN38" i="5"/>
  <c r="AN36" i="5"/>
  <c r="AN23" i="5"/>
  <c r="AN10" i="5"/>
  <c r="BZ3" i="5"/>
  <c r="AN7" i="5"/>
  <c r="AN22" i="5"/>
  <c r="AN37" i="5"/>
  <c r="AN24" i="5"/>
  <c r="AN21" i="5"/>
  <c r="AN9" i="5"/>
  <c r="AN35" i="5"/>
  <c r="C21" i="15"/>
  <c r="E21" i="15" s="1"/>
  <c r="C27" i="2"/>
  <c r="A281" i="14"/>
  <c r="G22" i="4"/>
  <c r="I18" i="3"/>
  <c r="B122" i="13"/>
  <c r="B124" i="13"/>
  <c r="B120" i="13"/>
  <c r="B118" i="13"/>
  <c r="B117" i="13"/>
  <c r="B125" i="13"/>
  <c r="B121" i="13"/>
  <c r="A118" i="13"/>
  <c r="A117" i="13"/>
  <c r="B119" i="13"/>
  <c r="B123" i="13"/>
  <c r="AF19" i="3"/>
  <c r="A124" i="13" s="1"/>
  <c r="X19" i="3"/>
  <c r="A122" i="13" s="1"/>
  <c r="P19" i="3"/>
  <c r="AJ19" i="3"/>
  <c r="A125" i="13" s="1"/>
  <c r="Z19" i="3"/>
  <c r="N19" i="3"/>
  <c r="AH19" i="3"/>
  <c r="AD19" i="3"/>
  <c r="R19" i="3"/>
  <c r="H19" i="3"/>
  <c r="G19" i="3" s="1"/>
  <c r="AB19" i="3"/>
  <c r="A123" i="13" s="1"/>
  <c r="L19" i="3"/>
  <c r="V19" i="3"/>
  <c r="J19" i="3"/>
  <c r="T19" i="3"/>
  <c r="A121" i="13" s="1"/>
  <c r="B206" i="14"/>
  <c r="A206" i="14"/>
  <c r="B19" i="4"/>
  <c r="D25" i="3"/>
  <c r="E24" i="3"/>
  <c r="A73" i="9"/>
  <c r="B72" i="9"/>
  <c r="C170" i="15" s="1"/>
  <c r="A300" i="14"/>
  <c r="B21" i="3"/>
  <c r="C20" i="3"/>
  <c r="A258" i="9"/>
  <c r="B257" i="9"/>
  <c r="C355" i="15" s="1"/>
  <c r="A120" i="13" l="1"/>
  <c r="A119" i="13"/>
  <c r="D26" i="3"/>
  <c r="E25" i="3"/>
  <c r="A132" i="13"/>
  <c r="B133" i="13"/>
  <c r="B129" i="13"/>
  <c r="B135" i="13"/>
  <c r="B131" i="13"/>
  <c r="A128" i="13"/>
  <c r="A127" i="13"/>
  <c r="B132" i="13"/>
  <c r="B127" i="13"/>
  <c r="B130" i="13"/>
  <c r="B128" i="13"/>
  <c r="B134" i="13"/>
  <c r="AD20" i="3"/>
  <c r="V20" i="3"/>
  <c r="N20" i="3"/>
  <c r="H20" i="3"/>
  <c r="G20" i="3" s="1"/>
  <c r="AJ20" i="3"/>
  <c r="A135" i="13" s="1"/>
  <c r="Z20" i="3"/>
  <c r="P20" i="3"/>
  <c r="X20" i="3"/>
  <c r="AH20" i="3"/>
  <c r="AF20" i="3"/>
  <c r="A134" i="13" s="1"/>
  <c r="R20" i="3"/>
  <c r="T20" i="3"/>
  <c r="A131" i="13" s="1"/>
  <c r="AB20" i="3"/>
  <c r="A133" i="13" s="1"/>
  <c r="L20" i="3"/>
  <c r="A129" i="13" s="1"/>
  <c r="J20" i="3"/>
  <c r="B22" i="3"/>
  <c r="C21" i="3"/>
  <c r="B73" i="9"/>
  <c r="C171" i="15" s="1"/>
  <c r="A74" i="9"/>
  <c r="A299" i="14"/>
  <c r="G23" i="4"/>
  <c r="AO38" i="5"/>
  <c r="AO37" i="5"/>
  <c r="AO36" i="5"/>
  <c r="AO22" i="5"/>
  <c r="AO8" i="5"/>
  <c r="AO7" i="5"/>
  <c r="CA3" i="5"/>
  <c r="AO21" i="5"/>
  <c r="AO23" i="5"/>
  <c r="AO10" i="5"/>
  <c r="AO24" i="5"/>
  <c r="AO35" i="5"/>
  <c r="AO9" i="5"/>
  <c r="A318" i="14"/>
  <c r="I19" i="3"/>
  <c r="A259" i="9"/>
  <c r="B258" i="9"/>
  <c r="C356" i="15" s="1"/>
  <c r="B224" i="14"/>
  <c r="A224" i="14"/>
  <c r="B20" i="4"/>
  <c r="C22" i="15"/>
  <c r="E22" i="15" s="1"/>
  <c r="C28" i="2"/>
  <c r="F20" i="9"/>
  <c r="E19" i="9"/>
  <c r="A130" i="13" l="1"/>
  <c r="F21" i="9"/>
  <c r="E20" i="9"/>
  <c r="A317" i="14"/>
  <c r="B23" i="3"/>
  <c r="C22" i="3"/>
  <c r="B242" i="14"/>
  <c r="A242" i="14"/>
  <c r="B21" i="4"/>
  <c r="B259" i="9"/>
  <c r="C357" i="15" s="1"/>
  <c r="A260" i="9"/>
  <c r="A75" i="9"/>
  <c r="B74" i="9"/>
  <c r="C172" i="15" s="1"/>
  <c r="C23" i="15"/>
  <c r="E23" i="15" s="1"/>
  <c r="C29" i="2"/>
  <c r="A336" i="14"/>
  <c r="A354" i="14"/>
  <c r="AP7" i="5"/>
  <c r="CB3" i="5"/>
  <c r="AP23" i="5"/>
  <c r="AP10" i="5"/>
  <c r="AP8" i="5"/>
  <c r="AP9" i="5"/>
  <c r="AP21" i="5"/>
  <c r="AP35" i="5"/>
  <c r="AP22" i="5"/>
  <c r="AP38" i="5"/>
  <c r="AP37" i="5"/>
  <c r="AP36" i="5"/>
  <c r="AP24" i="5"/>
  <c r="B144" i="13"/>
  <c r="B140" i="13"/>
  <c r="B138" i="13"/>
  <c r="B137" i="13"/>
  <c r="B142" i="13"/>
  <c r="B143" i="13"/>
  <c r="B139" i="13"/>
  <c r="B141" i="13"/>
  <c r="A137" i="13"/>
  <c r="A138" i="13"/>
  <c r="B145" i="13"/>
  <c r="AJ21" i="3"/>
  <c r="AB21" i="3"/>
  <c r="A143" i="13" s="1"/>
  <c r="T21" i="3"/>
  <c r="L21" i="3"/>
  <c r="Z21" i="3"/>
  <c r="P21" i="3"/>
  <c r="H21" i="3"/>
  <c r="G21" i="3" s="1"/>
  <c r="V21" i="3"/>
  <c r="AF21" i="3"/>
  <c r="A144" i="13" s="1"/>
  <c r="R21" i="3"/>
  <c r="AH21" i="3"/>
  <c r="AD21" i="3"/>
  <c r="N21" i="3"/>
  <c r="X21" i="3"/>
  <c r="A142" i="13" s="1"/>
  <c r="J21" i="3"/>
  <c r="I20" i="3"/>
  <c r="D27" i="3"/>
  <c r="E26" i="3"/>
  <c r="A140" i="13" l="1"/>
  <c r="A139" i="13"/>
  <c r="A141" i="13"/>
  <c r="D28" i="3"/>
  <c r="E27" i="3"/>
  <c r="I21" i="3"/>
  <c r="B260" i="14"/>
  <c r="A260" i="14"/>
  <c r="B22" i="4"/>
  <c r="B24" i="3"/>
  <c r="C23" i="3"/>
  <c r="A145" i="13"/>
  <c r="AQ10" i="5"/>
  <c r="AQ35" i="5"/>
  <c r="AQ7" i="5"/>
  <c r="AQ38" i="5"/>
  <c r="AQ37" i="5"/>
  <c r="AQ36" i="5"/>
  <c r="CC3" i="5"/>
  <c r="AQ21" i="5"/>
  <c r="AQ9" i="5"/>
  <c r="AQ24" i="5"/>
  <c r="AQ23" i="5"/>
  <c r="AQ22" i="5"/>
  <c r="AQ8" i="5"/>
  <c r="C24" i="15"/>
  <c r="E24" i="15" s="1"/>
  <c r="C30" i="2"/>
  <c r="B260" i="9"/>
  <c r="C358" i="15" s="1"/>
  <c r="A261" i="9"/>
  <c r="B155" i="13"/>
  <c r="B151" i="13"/>
  <c r="A148" i="13"/>
  <c r="A147" i="13"/>
  <c r="B153" i="13"/>
  <c r="B149" i="13"/>
  <c r="B154" i="13"/>
  <c r="B150" i="13"/>
  <c r="B148" i="13"/>
  <c r="B147" i="13"/>
  <c r="B152" i="13"/>
  <c r="AH22" i="3"/>
  <c r="Z22" i="3"/>
  <c r="R22" i="3"/>
  <c r="J22" i="3"/>
  <c r="AB22" i="3"/>
  <c r="A153" i="13" s="1"/>
  <c r="P22" i="3"/>
  <c r="H22" i="3"/>
  <c r="G22" i="3" s="1"/>
  <c r="V22" i="3"/>
  <c r="AF22" i="3"/>
  <c r="A154" i="13" s="1"/>
  <c r="T22" i="3"/>
  <c r="A151" i="13" s="1"/>
  <c r="AD22" i="3"/>
  <c r="N22" i="3"/>
  <c r="X22" i="3"/>
  <c r="A152" i="13" s="1"/>
  <c r="L22" i="3"/>
  <c r="A149" i="13" s="1"/>
  <c r="AJ22" i="3"/>
  <c r="A76" i="9"/>
  <c r="B75" i="9"/>
  <c r="C173" i="15" s="1"/>
  <c r="A335" i="14"/>
  <c r="F22" i="9"/>
  <c r="E21" i="9"/>
  <c r="I22" i="3" l="1"/>
  <c r="A150" i="13"/>
  <c r="AR36" i="5"/>
  <c r="AR10" i="5"/>
  <c r="AR7" i="5"/>
  <c r="CD3" i="5"/>
  <c r="AR35" i="5"/>
  <c r="AR38" i="5"/>
  <c r="AR37" i="5"/>
  <c r="AR22" i="5"/>
  <c r="AR8" i="5"/>
  <c r="AR9" i="5"/>
  <c r="AR21" i="5"/>
  <c r="AR23" i="5"/>
  <c r="AR24" i="5"/>
  <c r="B162" i="13"/>
  <c r="B164" i="13"/>
  <c r="B160" i="13"/>
  <c r="B158" i="13"/>
  <c r="B157" i="13"/>
  <c r="B165" i="13"/>
  <c r="B161" i="13"/>
  <c r="A158" i="13"/>
  <c r="A157" i="13"/>
  <c r="B163" i="13"/>
  <c r="B159" i="13"/>
  <c r="AF23" i="3"/>
  <c r="A164" i="13" s="1"/>
  <c r="X23" i="3"/>
  <c r="A162" i="13" s="1"/>
  <c r="P23" i="3"/>
  <c r="AB23" i="3"/>
  <c r="A163" i="13" s="1"/>
  <c r="R23" i="3"/>
  <c r="H23" i="3"/>
  <c r="G23" i="3" s="1"/>
  <c r="V23" i="3"/>
  <c r="AH23" i="3"/>
  <c r="T23" i="3"/>
  <c r="J23" i="3"/>
  <c r="AD23" i="3"/>
  <c r="N23" i="3"/>
  <c r="Z23" i="3"/>
  <c r="L23" i="3"/>
  <c r="AJ23" i="3"/>
  <c r="A353" i="14"/>
  <c r="A155" i="13"/>
  <c r="B25" i="3"/>
  <c r="C24" i="3"/>
  <c r="A262" i="9"/>
  <c r="B261" i="9"/>
  <c r="C359" i="15" s="1"/>
  <c r="B278" i="14"/>
  <c r="A278" i="14"/>
  <c r="B23" i="4"/>
  <c r="B76" i="9"/>
  <c r="C174" i="15" s="1"/>
  <c r="A77" i="9"/>
  <c r="C25" i="15"/>
  <c r="E25" i="15" s="1"/>
  <c r="C31" i="2"/>
  <c r="F23" i="9"/>
  <c r="E22" i="9"/>
  <c r="D29" i="3"/>
  <c r="E29" i="3" s="1"/>
  <c r="E28" i="3"/>
  <c r="A161" i="13" l="1"/>
  <c r="A160" i="13"/>
  <c r="I23" i="3"/>
  <c r="A159" i="13"/>
  <c r="A78" i="9"/>
  <c r="B77" i="9"/>
  <c r="C175" i="15" s="1"/>
  <c r="C26" i="15"/>
  <c r="E26" i="15" s="1"/>
  <c r="C32" i="2"/>
  <c r="B296" i="14"/>
  <c r="A296" i="14"/>
  <c r="B24" i="4"/>
  <c r="A263" i="9"/>
  <c r="B262" i="9"/>
  <c r="C360" i="15" s="1"/>
  <c r="AS8" i="5"/>
  <c r="AS36" i="5"/>
  <c r="AS22" i="5"/>
  <c r="CE3" i="5"/>
  <c r="AS7" i="5"/>
  <c r="AS38" i="5"/>
  <c r="AS24" i="5"/>
  <c r="AS23" i="5"/>
  <c r="AS35" i="5"/>
  <c r="AS21" i="5"/>
  <c r="AS37" i="5"/>
  <c r="AS10" i="5"/>
  <c r="AS9" i="5"/>
  <c r="C25" i="3"/>
  <c r="B26" i="3"/>
  <c r="B173" i="13"/>
  <c r="B169" i="13"/>
  <c r="B175" i="13"/>
  <c r="B171" i="13"/>
  <c r="A168" i="13"/>
  <c r="A167" i="13"/>
  <c r="B172" i="13"/>
  <c r="B174" i="13"/>
  <c r="B168" i="13"/>
  <c r="B170" i="13"/>
  <c r="AD24" i="3"/>
  <c r="V24" i="3"/>
  <c r="N24" i="3"/>
  <c r="H24" i="3"/>
  <c r="G24" i="3" s="1"/>
  <c r="B167" i="13"/>
  <c r="AB24" i="3"/>
  <c r="A173" i="13" s="1"/>
  <c r="R24" i="3"/>
  <c r="X24" i="3"/>
  <c r="A172" i="13" s="1"/>
  <c r="AH24" i="3"/>
  <c r="T24" i="3"/>
  <c r="J24" i="3"/>
  <c r="AF24" i="3"/>
  <c r="A174" i="13" s="1"/>
  <c r="P24" i="3"/>
  <c r="Z24" i="3"/>
  <c r="L24" i="3"/>
  <c r="AJ24" i="3"/>
  <c r="A165" i="13"/>
  <c r="F24" i="9"/>
  <c r="E23" i="9"/>
  <c r="A170" i="13" l="1"/>
  <c r="A169" i="13"/>
  <c r="A171" i="13"/>
  <c r="B184" i="13"/>
  <c r="B180" i="13"/>
  <c r="B178" i="13"/>
  <c r="B177" i="13"/>
  <c r="B182" i="13"/>
  <c r="B183" i="13"/>
  <c r="B179" i="13"/>
  <c r="A178" i="13"/>
  <c r="B185" i="13"/>
  <c r="B181" i="13"/>
  <c r="A177" i="13"/>
  <c r="AJ25" i="3"/>
  <c r="AB25" i="3"/>
  <c r="A183" i="13" s="1"/>
  <c r="T25" i="3"/>
  <c r="L25" i="3"/>
  <c r="AD25" i="3"/>
  <c r="R25" i="3"/>
  <c r="X25" i="3"/>
  <c r="A182" i="13" s="1"/>
  <c r="AH25" i="3"/>
  <c r="V25" i="3"/>
  <c r="H25" i="3"/>
  <c r="G25" i="3" s="1"/>
  <c r="J25" i="3"/>
  <c r="AF25" i="3"/>
  <c r="A184" i="13" s="1"/>
  <c r="P25" i="3"/>
  <c r="Z25" i="3"/>
  <c r="N25" i="3"/>
  <c r="B314" i="14"/>
  <c r="A314" i="14"/>
  <c r="B25" i="4"/>
  <c r="B263" i="9"/>
  <c r="C361" i="15" s="1"/>
  <c r="A264" i="9"/>
  <c r="C26" i="3"/>
  <c r="B27" i="3"/>
  <c r="C27" i="15"/>
  <c r="E27" i="15" s="1"/>
  <c r="C33" i="2"/>
  <c r="F25" i="9"/>
  <c r="E24" i="9"/>
  <c r="I24" i="3"/>
  <c r="A175" i="13"/>
  <c r="AT7" i="5"/>
  <c r="CF3" i="5"/>
  <c r="AT23" i="5"/>
  <c r="AT22" i="5"/>
  <c r="AT10" i="5"/>
  <c r="AT8" i="5"/>
  <c r="AT21" i="5"/>
  <c r="AT37" i="5"/>
  <c r="AT38" i="5"/>
  <c r="AT9" i="5"/>
  <c r="AT35" i="5"/>
  <c r="AT24" i="5"/>
  <c r="AT36" i="5"/>
  <c r="A79" i="9"/>
  <c r="B78" i="9"/>
  <c r="C176" i="15" s="1"/>
  <c r="A180" i="13" l="1"/>
  <c r="A179" i="13"/>
  <c r="A181" i="13"/>
  <c r="C28" i="15"/>
  <c r="E28" i="15" s="1"/>
  <c r="C34" i="2"/>
  <c r="B79" i="9"/>
  <c r="C177" i="15" s="1"/>
  <c r="A80" i="9"/>
  <c r="AU38" i="5"/>
  <c r="AU35" i="5"/>
  <c r="AU37" i="5"/>
  <c r="AU36" i="5"/>
  <c r="AU10" i="5"/>
  <c r="CG3" i="5"/>
  <c r="AU7" i="5"/>
  <c r="AU23" i="5"/>
  <c r="AU21" i="5"/>
  <c r="AU22" i="5"/>
  <c r="AU24" i="5"/>
  <c r="AU8" i="5"/>
  <c r="AU9" i="5"/>
  <c r="C27" i="3"/>
  <c r="B28" i="3"/>
  <c r="B332" i="14"/>
  <c r="A332" i="14"/>
  <c r="B26" i="4"/>
  <c r="B264" i="9"/>
  <c r="C362" i="15" s="1"/>
  <c r="A265" i="9"/>
  <c r="F26" i="9"/>
  <c r="E25" i="9"/>
  <c r="B188" i="13"/>
  <c r="B187" i="13"/>
  <c r="B193" i="13"/>
  <c r="B189" i="13"/>
  <c r="A187" i="13"/>
  <c r="B195" i="13"/>
  <c r="B191" i="13"/>
  <c r="B192" i="13"/>
  <c r="B190" i="13"/>
  <c r="B194" i="13"/>
  <c r="A188" i="13"/>
  <c r="AH26" i="3"/>
  <c r="Z26" i="3"/>
  <c r="R26" i="3"/>
  <c r="J26" i="3"/>
  <c r="AD26" i="3"/>
  <c r="T26" i="3"/>
  <c r="L26" i="3"/>
  <c r="AJ26" i="3"/>
  <c r="V26" i="3"/>
  <c r="H26" i="3"/>
  <c r="G26" i="3" s="1"/>
  <c r="AF26" i="3"/>
  <c r="A194" i="13" s="1"/>
  <c r="P26" i="3"/>
  <c r="AB26" i="3"/>
  <c r="A193" i="13" s="1"/>
  <c r="N26" i="3"/>
  <c r="X26" i="3"/>
  <c r="A192" i="13" s="1"/>
  <c r="I25" i="3"/>
  <c r="A185" i="13"/>
  <c r="A190" i="13" l="1"/>
  <c r="A189" i="13"/>
  <c r="A191" i="13"/>
  <c r="B350" i="14"/>
  <c r="A350" i="14"/>
  <c r="AV38" i="5"/>
  <c r="AV37" i="5"/>
  <c r="AV36" i="5"/>
  <c r="AV8" i="5"/>
  <c r="AV7" i="5"/>
  <c r="CH3" i="5"/>
  <c r="AV21" i="5"/>
  <c r="AV23" i="5"/>
  <c r="AV10" i="5"/>
  <c r="AV9" i="5"/>
  <c r="AV35" i="5"/>
  <c r="AV24" i="5"/>
  <c r="AV22" i="5"/>
  <c r="C29" i="15"/>
  <c r="E29" i="15" s="1"/>
  <c r="C35" i="2"/>
  <c r="I26" i="3"/>
  <c r="A266" i="9"/>
  <c r="B265" i="9"/>
  <c r="C363" i="15" s="1"/>
  <c r="A81" i="9"/>
  <c r="B80" i="9"/>
  <c r="C178" i="15" s="1"/>
  <c r="A195" i="13"/>
  <c r="B29" i="3"/>
  <c r="C28" i="3"/>
  <c r="B198" i="13"/>
  <c r="B197" i="13"/>
  <c r="B202" i="13"/>
  <c r="B204" i="13"/>
  <c r="B200" i="13"/>
  <c r="A198" i="13"/>
  <c r="B205" i="13"/>
  <c r="B201" i="13"/>
  <c r="B203" i="13"/>
  <c r="A197" i="13"/>
  <c r="B199" i="13"/>
  <c r="AF27" i="3"/>
  <c r="A204" i="13" s="1"/>
  <c r="X27" i="3"/>
  <c r="A202" i="13" s="1"/>
  <c r="P27" i="3"/>
  <c r="AD27" i="3"/>
  <c r="T27" i="3"/>
  <c r="J27" i="3"/>
  <c r="Z27" i="3"/>
  <c r="AJ27" i="3"/>
  <c r="V27" i="3"/>
  <c r="H27" i="3"/>
  <c r="G27" i="3" s="1"/>
  <c r="AH27" i="3"/>
  <c r="R27" i="3"/>
  <c r="AB27" i="3"/>
  <c r="A203" i="13" s="1"/>
  <c r="N27" i="3"/>
  <c r="L27" i="3"/>
  <c r="A199" i="13" s="1"/>
  <c r="F27" i="9"/>
  <c r="E26" i="9"/>
  <c r="A201" i="13" l="1"/>
  <c r="I27" i="3"/>
  <c r="A205" i="13"/>
  <c r="A200" i="13"/>
  <c r="B30" i="3"/>
  <c r="C29" i="3"/>
  <c r="AW36" i="5"/>
  <c r="AW7" i="5"/>
  <c r="CI3" i="5"/>
  <c r="AW22" i="5"/>
  <c r="AW8" i="5"/>
  <c r="AW35" i="5"/>
  <c r="AW38" i="5"/>
  <c r="AW37" i="5"/>
  <c r="AW23" i="5"/>
  <c r="AW24" i="5"/>
  <c r="AW9" i="5"/>
  <c r="AW10" i="5"/>
  <c r="AW21" i="5"/>
  <c r="E27" i="9"/>
  <c r="F28" i="9"/>
  <c r="A267" i="9"/>
  <c r="B266" i="9"/>
  <c r="C364" i="15" s="1"/>
  <c r="B208" i="13"/>
  <c r="B207" i="13"/>
  <c r="B215" i="13"/>
  <c r="B211" i="13"/>
  <c r="B213" i="13"/>
  <c r="B209" i="13"/>
  <c r="A207" i="13"/>
  <c r="B214" i="13"/>
  <c r="B210" i="13"/>
  <c r="A208" i="13"/>
  <c r="B212" i="13"/>
  <c r="AD28" i="3"/>
  <c r="V28" i="3"/>
  <c r="N28" i="3"/>
  <c r="H28" i="3"/>
  <c r="G28" i="3" s="1"/>
  <c r="AF28" i="3"/>
  <c r="A214" i="13" s="1"/>
  <c r="T28" i="3"/>
  <c r="J28" i="3"/>
  <c r="Z28" i="3"/>
  <c r="AJ28" i="3"/>
  <c r="A215" i="13" s="1"/>
  <c r="X28" i="3"/>
  <c r="AH28" i="3"/>
  <c r="R28" i="3"/>
  <c r="AB28" i="3"/>
  <c r="A213" i="13" s="1"/>
  <c r="P28" i="3"/>
  <c r="A210" i="13" s="1"/>
  <c r="L28" i="3"/>
  <c r="A82" i="9"/>
  <c r="B81" i="9"/>
  <c r="C179" i="15" s="1"/>
  <c r="C30" i="15"/>
  <c r="E30" i="15" s="1"/>
  <c r="C36" i="2"/>
  <c r="A212" i="13" l="1"/>
  <c r="A211" i="13"/>
  <c r="A209" i="13"/>
  <c r="B267" i="9"/>
  <c r="C365" i="15" s="1"/>
  <c r="A268" i="9"/>
  <c r="C31" i="15"/>
  <c r="E31" i="15" s="1"/>
  <c r="C37" i="2"/>
  <c r="I28" i="3"/>
  <c r="B218" i="13"/>
  <c r="B217" i="13"/>
  <c r="B224" i="13"/>
  <c r="B220" i="13"/>
  <c r="A218" i="13"/>
  <c r="B222" i="13"/>
  <c r="B223" i="13"/>
  <c r="B219" i="13"/>
  <c r="A217" i="13"/>
  <c r="B221" i="13"/>
  <c r="B225" i="13"/>
  <c r="AJ29" i="3"/>
  <c r="A225" i="13" s="1"/>
  <c r="AB29" i="3"/>
  <c r="A223" i="13" s="1"/>
  <c r="T29" i="3"/>
  <c r="L29" i="3"/>
  <c r="AF29" i="3"/>
  <c r="A224" i="13" s="1"/>
  <c r="V29" i="3"/>
  <c r="J29" i="3"/>
  <c r="N29" i="3"/>
  <c r="X29" i="3"/>
  <c r="AH29" i="3"/>
  <c r="R29" i="3"/>
  <c r="H29" i="3"/>
  <c r="G29" i="3" s="1"/>
  <c r="AD29" i="3"/>
  <c r="P29" i="3"/>
  <c r="Z29" i="3"/>
  <c r="A83" i="9"/>
  <c r="B82" i="9"/>
  <c r="C180" i="15" s="1"/>
  <c r="F29" i="9"/>
  <c r="E28" i="9"/>
  <c r="AX7" i="5"/>
  <c r="CJ3" i="5"/>
  <c r="AX10" i="5"/>
  <c r="AX8" i="5"/>
  <c r="AX23" i="5"/>
  <c r="AX22" i="5"/>
  <c r="AX37" i="5"/>
  <c r="AX36" i="5"/>
  <c r="AX35" i="5"/>
  <c r="AX38" i="5"/>
  <c r="AX9" i="5"/>
  <c r="AX24" i="5"/>
  <c r="AX21" i="5"/>
  <c r="C30" i="3"/>
  <c r="B31" i="3"/>
  <c r="A219" i="13" l="1"/>
  <c r="A222" i="13"/>
  <c r="A220" i="13"/>
  <c r="A221" i="13"/>
  <c r="B268" i="9"/>
  <c r="C366" i="15" s="1"/>
  <c r="A269" i="9"/>
  <c r="B32" i="3"/>
  <c r="C31" i="3"/>
  <c r="F30" i="9"/>
  <c r="E29" i="9"/>
  <c r="A84" i="9"/>
  <c r="B83" i="9"/>
  <c r="C181" i="15" s="1"/>
  <c r="B228" i="13"/>
  <c r="B227" i="13"/>
  <c r="B233" i="13"/>
  <c r="B229" i="13"/>
  <c r="A227" i="13"/>
  <c r="B235" i="13"/>
  <c r="B231" i="13"/>
  <c r="B232" i="13"/>
  <c r="B234" i="13"/>
  <c r="A228" i="13"/>
  <c r="B230" i="13"/>
  <c r="AJ30" i="3"/>
  <c r="I30" i="3" s="1"/>
  <c r="AB30" i="3"/>
  <c r="T30" i="3"/>
  <c r="L30" i="3"/>
  <c r="AH30" i="3"/>
  <c r="X30" i="3"/>
  <c r="A232" i="13" s="1"/>
  <c r="N30" i="3"/>
  <c r="AF30" i="3"/>
  <c r="H30" i="3"/>
  <c r="G30" i="3" s="1"/>
  <c r="AD30" i="3"/>
  <c r="Z30" i="3"/>
  <c r="J30" i="3"/>
  <c r="V30" i="3"/>
  <c r="R30" i="3"/>
  <c r="P30" i="3"/>
  <c r="A230" i="13" s="1"/>
  <c r="AY7" i="5"/>
  <c r="AY38" i="5"/>
  <c r="AY36" i="5"/>
  <c r="AY10" i="5"/>
  <c r="CK3" i="5"/>
  <c r="AY24" i="5"/>
  <c r="AY9" i="5"/>
  <c r="AY37" i="5"/>
  <c r="AY23" i="5"/>
  <c r="AY35" i="5"/>
  <c r="AY21" i="5"/>
  <c r="AY22" i="5"/>
  <c r="AY8" i="5"/>
  <c r="I29" i="3"/>
  <c r="C32" i="15"/>
  <c r="E32" i="15" s="1"/>
  <c r="C38" i="2"/>
  <c r="A233" i="13" l="1"/>
  <c r="A234" i="13"/>
  <c r="A229" i="13"/>
  <c r="A231" i="13"/>
  <c r="A270" i="9"/>
  <c r="B269" i="9"/>
  <c r="C367" i="15" s="1"/>
  <c r="C33" i="15"/>
  <c r="E33" i="15" s="1"/>
  <c r="C39" i="2"/>
  <c r="B238" i="13"/>
  <c r="B237" i="13"/>
  <c r="B242" i="13"/>
  <c r="B244" i="13"/>
  <c r="B240" i="13"/>
  <c r="A238" i="13"/>
  <c r="B245" i="13"/>
  <c r="B241" i="13"/>
  <c r="B239" i="13"/>
  <c r="B243" i="13"/>
  <c r="A237" i="13"/>
  <c r="AJ31" i="3"/>
  <c r="AB31" i="3"/>
  <c r="A243" i="13" s="1"/>
  <c r="T31" i="3"/>
  <c r="L31" i="3"/>
  <c r="Z31" i="3"/>
  <c r="P31" i="3"/>
  <c r="H31" i="3"/>
  <c r="G31" i="3" s="1"/>
  <c r="V31" i="3"/>
  <c r="R31" i="3"/>
  <c r="AD31" i="3"/>
  <c r="N31" i="3"/>
  <c r="AF31" i="3"/>
  <c r="A244" i="13" s="1"/>
  <c r="X31" i="3"/>
  <c r="A242" i="13" s="1"/>
  <c r="J31" i="3"/>
  <c r="AH31" i="3"/>
  <c r="AZ38" i="5"/>
  <c r="AZ35" i="5"/>
  <c r="AZ37" i="5"/>
  <c r="AZ36" i="5"/>
  <c r="AZ22" i="5"/>
  <c r="AZ10" i="5"/>
  <c r="CL3" i="5"/>
  <c r="AZ8" i="5"/>
  <c r="AZ7" i="5"/>
  <c r="AZ9" i="5"/>
  <c r="AZ24" i="5"/>
  <c r="AZ21" i="5"/>
  <c r="AZ23" i="5"/>
  <c r="A85" i="9"/>
  <c r="B84" i="9"/>
  <c r="C182" i="15" s="1"/>
  <c r="B33" i="3"/>
  <c r="C32" i="3"/>
  <c r="A235" i="13"/>
  <c r="F31" i="9"/>
  <c r="E30" i="9"/>
  <c r="A241" i="13" l="1"/>
  <c r="A240" i="13"/>
  <c r="A239" i="13"/>
  <c r="F32" i="9"/>
  <c r="E31" i="9"/>
  <c r="BA35" i="5"/>
  <c r="BA36" i="5"/>
  <c r="BA23" i="5"/>
  <c r="CM3" i="5"/>
  <c r="BA37" i="5"/>
  <c r="BA8" i="5"/>
  <c r="BA7" i="5"/>
  <c r="BA38" i="5"/>
  <c r="BA21" i="5"/>
  <c r="BA24" i="5"/>
  <c r="BA10" i="5"/>
  <c r="BA9" i="5"/>
  <c r="BA22" i="5"/>
  <c r="C34" i="15"/>
  <c r="E34" i="15" s="1"/>
  <c r="C40" i="2"/>
  <c r="A86" i="9"/>
  <c r="B85" i="9"/>
  <c r="C183" i="15" s="1"/>
  <c r="I31" i="3"/>
  <c r="B248" i="13"/>
  <c r="B247" i="13"/>
  <c r="B255" i="13"/>
  <c r="B251" i="13"/>
  <c r="B253" i="13"/>
  <c r="B249" i="13"/>
  <c r="A247" i="13"/>
  <c r="B254" i="13"/>
  <c r="B250" i="13"/>
  <c r="A248" i="13"/>
  <c r="B252" i="13"/>
  <c r="AJ32" i="3"/>
  <c r="I32" i="3" s="1"/>
  <c r="AB32" i="3"/>
  <c r="T32" i="3"/>
  <c r="L32" i="3"/>
  <c r="A249" i="13" s="1"/>
  <c r="AD32" i="3"/>
  <c r="R32" i="3"/>
  <c r="J32" i="3"/>
  <c r="V32" i="3"/>
  <c r="AF32" i="3"/>
  <c r="A254" i="13" s="1"/>
  <c r="P32" i="3"/>
  <c r="AH32" i="3"/>
  <c r="Z32" i="3"/>
  <c r="N32" i="3"/>
  <c r="X32" i="3"/>
  <c r="A252" i="13" s="1"/>
  <c r="H32" i="3"/>
  <c r="G32" i="3" s="1"/>
  <c r="C33" i="3"/>
  <c r="B34" i="3"/>
  <c r="A245" i="13"/>
  <c r="A271" i="9"/>
  <c r="B270" i="9"/>
  <c r="C368" i="15" s="1"/>
  <c r="A251" i="13" l="1"/>
  <c r="A250" i="13"/>
  <c r="A253" i="13"/>
  <c r="A87" i="9"/>
  <c r="B86" i="9"/>
  <c r="C184" i="15" s="1"/>
  <c r="BB7" i="5"/>
  <c r="CN3" i="5"/>
  <c r="BB10" i="5"/>
  <c r="BB8" i="5"/>
  <c r="BB21" i="5"/>
  <c r="BB22" i="5"/>
  <c r="BB9" i="5"/>
  <c r="BB35" i="5"/>
  <c r="BB36" i="5"/>
  <c r="BB23" i="5"/>
  <c r="BB24" i="5"/>
  <c r="BB37" i="5"/>
  <c r="BB38" i="5"/>
  <c r="B271" i="9"/>
  <c r="C369" i="15" s="1"/>
  <c r="A272" i="9"/>
  <c r="C34" i="3"/>
  <c r="B35" i="3"/>
  <c r="A258" i="13"/>
  <c r="A257" i="13"/>
  <c r="B258" i="13"/>
  <c r="B257" i="13"/>
  <c r="B262" i="13"/>
  <c r="B264" i="13"/>
  <c r="B260" i="13"/>
  <c r="B265" i="13"/>
  <c r="B261" i="13"/>
  <c r="B263" i="13"/>
  <c r="B259" i="13"/>
  <c r="AJ33" i="3"/>
  <c r="I33" i="3" s="1"/>
  <c r="AB33" i="3"/>
  <c r="T33" i="3"/>
  <c r="L33" i="3"/>
  <c r="AF33" i="3"/>
  <c r="A264" i="13" s="1"/>
  <c r="V33" i="3"/>
  <c r="J33" i="3"/>
  <c r="Z33" i="3"/>
  <c r="N33" i="3"/>
  <c r="X33" i="3"/>
  <c r="A262" i="13" s="1"/>
  <c r="AH33" i="3"/>
  <c r="R33" i="3"/>
  <c r="H33" i="3"/>
  <c r="G33" i="3" s="1"/>
  <c r="AD33" i="3"/>
  <c r="P33" i="3"/>
  <c r="A255" i="13"/>
  <c r="C35" i="15"/>
  <c r="E35" i="15" s="1"/>
  <c r="C41" i="2"/>
  <c r="F33" i="9"/>
  <c r="E32" i="9"/>
  <c r="A260" i="13" l="1"/>
  <c r="A263" i="13"/>
  <c r="A259" i="13"/>
  <c r="A261" i="13"/>
  <c r="A265" i="13"/>
  <c r="A268" i="13"/>
  <c r="A267" i="13"/>
  <c r="B268" i="13"/>
  <c r="B267" i="13"/>
  <c r="B273" i="13"/>
  <c r="B269" i="13"/>
  <c r="B275" i="13"/>
  <c r="B271" i="13"/>
  <c r="B272" i="13"/>
  <c r="B274" i="13"/>
  <c r="B270" i="13"/>
  <c r="AJ34" i="3"/>
  <c r="I34" i="3" s="1"/>
  <c r="AB34" i="3"/>
  <c r="T34" i="3"/>
  <c r="L34" i="3"/>
  <c r="AH34" i="3"/>
  <c r="X34" i="3"/>
  <c r="N34" i="3"/>
  <c r="AD34" i="3"/>
  <c r="P34" i="3"/>
  <c r="J34" i="3"/>
  <c r="V34" i="3"/>
  <c r="Z34" i="3"/>
  <c r="AF34" i="3"/>
  <c r="A274" i="13" s="1"/>
  <c r="R34" i="3"/>
  <c r="H34" i="3"/>
  <c r="G34" i="3" s="1"/>
  <c r="F34" i="9"/>
  <c r="E33" i="9"/>
  <c r="BC36" i="5"/>
  <c r="BC10" i="5"/>
  <c r="BC7" i="5"/>
  <c r="CO3" i="5"/>
  <c r="BC38" i="5"/>
  <c r="BC37" i="5"/>
  <c r="BC8" i="5"/>
  <c r="BC23" i="5"/>
  <c r="BC21" i="5"/>
  <c r="BC22" i="5"/>
  <c r="BC24" i="5"/>
  <c r="BC35" i="5"/>
  <c r="BC9" i="5"/>
  <c r="C36" i="15"/>
  <c r="E36" i="15" s="1"/>
  <c r="C42" i="2"/>
  <c r="B36" i="3"/>
  <c r="C35" i="3"/>
  <c r="B272" i="9"/>
  <c r="C370" i="15" s="1"/>
  <c r="A273" i="9"/>
  <c r="B87" i="9"/>
  <c r="C185" i="15" s="1"/>
  <c r="A88" i="9"/>
  <c r="A272" i="13" l="1"/>
  <c r="A273" i="13"/>
  <c r="A270" i="13"/>
  <c r="A269" i="13"/>
  <c r="A271" i="13"/>
  <c r="A278" i="13"/>
  <c r="A277" i="13"/>
  <c r="B278" i="13"/>
  <c r="B277" i="13"/>
  <c r="B284" i="13"/>
  <c r="B280" i="13"/>
  <c r="B282" i="13"/>
  <c r="B283" i="13"/>
  <c r="B279" i="13"/>
  <c r="B285" i="13"/>
  <c r="B281" i="13"/>
  <c r="AJ35" i="3"/>
  <c r="I35" i="3" s="1"/>
  <c r="AB35" i="3"/>
  <c r="T35" i="3"/>
  <c r="L35" i="3"/>
  <c r="Z35" i="3"/>
  <c r="P35" i="3"/>
  <c r="H35" i="3"/>
  <c r="G35" i="3" s="1"/>
  <c r="AF35" i="3"/>
  <c r="N35" i="3"/>
  <c r="X35" i="3"/>
  <c r="A282" i="13" s="1"/>
  <c r="J35" i="3"/>
  <c r="AD35" i="3"/>
  <c r="AH35" i="3"/>
  <c r="V35" i="3"/>
  <c r="R35" i="3"/>
  <c r="A274" i="9"/>
  <c r="B273" i="9"/>
  <c r="C371" i="15" s="1"/>
  <c r="C37" i="15"/>
  <c r="E37" i="15" s="1"/>
  <c r="C43" i="2"/>
  <c r="F35" i="9"/>
  <c r="E34" i="9"/>
  <c r="B88" i="9"/>
  <c r="C186" i="15" s="1"/>
  <c r="A89" i="9"/>
  <c r="C36" i="3"/>
  <c r="B37" i="3"/>
  <c r="BD8" i="5"/>
  <c r="BD36" i="5"/>
  <c r="BD22" i="5"/>
  <c r="BD7" i="5"/>
  <c r="CP3" i="5"/>
  <c r="BD38" i="5"/>
  <c r="BD23" i="5"/>
  <c r="BD10" i="5"/>
  <c r="BD24" i="5"/>
  <c r="BD35" i="5"/>
  <c r="BD21" i="5"/>
  <c r="BD9" i="5"/>
  <c r="BD37" i="5"/>
  <c r="A275" i="13"/>
  <c r="A281" i="13" l="1"/>
  <c r="A284" i="13"/>
  <c r="A279" i="13"/>
  <c r="A280" i="13"/>
  <c r="A283" i="13"/>
  <c r="BE38" i="5"/>
  <c r="BE23" i="5"/>
  <c r="BE35" i="5"/>
  <c r="BE7" i="5"/>
  <c r="BE37" i="5"/>
  <c r="BE36" i="5"/>
  <c r="BE22" i="5"/>
  <c r="CQ3" i="5"/>
  <c r="BE8" i="5"/>
  <c r="BE9" i="5"/>
  <c r="BE10" i="5"/>
  <c r="BE21" i="5"/>
  <c r="BE24" i="5"/>
  <c r="A288" i="13"/>
  <c r="A287" i="13"/>
  <c r="B288" i="13"/>
  <c r="B287" i="13"/>
  <c r="B295" i="13"/>
  <c r="B291" i="13"/>
  <c r="B293" i="13"/>
  <c r="B289" i="13"/>
  <c r="B294" i="13"/>
  <c r="B290" i="13"/>
  <c r="B292" i="13"/>
  <c r="AJ36" i="3"/>
  <c r="I36" i="3" s="1"/>
  <c r="AB36" i="3"/>
  <c r="T36" i="3"/>
  <c r="L36" i="3"/>
  <c r="AD36" i="3"/>
  <c r="R36" i="3"/>
  <c r="AH36" i="3"/>
  <c r="P36" i="3"/>
  <c r="Z36" i="3"/>
  <c r="N36" i="3"/>
  <c r="X36" i="3"/>
  <c r="J36" i="3"/>
  <c r="V36" i="3"/>
  <c r="H36" i="3"/>
  <c r="G36" i="3" s="1"/>
  <c r="AF36" i="3"/>
  <c r="F36" i="9"/>
  <c r="E35" i="9"/>
  <c r="A275" i="9"/>
  <c r="B274" i="9"/>
  <c r="C372" i="15" s="1"/>
  <c r="C37" i="3"/>
  <c r="B38" i="3"/>
  <c r="A285" i="13"/>
  <c r="A90" i="9"/>
  <c r="B89" i="9"/>
  <c r="C187" i="15" s="1"/>
  <c r="C38" i="15"/>
  <c r="E38" i="15" s="1"/>
  <c r="C44" i="2"/>
  <c r="A294" i="13" l="1"/>
  <c r="A289" i="13"/>
  <c r="A292" i="13"/>
  <c r="A291" i="13"/>
  <c r="A290" i="13"/>
  <c r="A91" i="9"/>
  <c r="B90" i="9"/>
  <c r="C188" i="15" s="1"/>
  <c r="A293" i="13"/>
  <c r="B39" i="3"/>
  <c r="C39" i="3" s="1"/>
  <c r="C38" i="3"/>
  <c r="A295" i="13"/>
  <c r="BF7" i="5"/>
  <c r="BF10" i="5"/>
  <c r="BF8" i="5"/>
  <c r="BF35" i="5"/>
  <c r="BF21" i="5"/>
  <c r="BF38" i="5"/>
  <c r="BF9" i="5"/>
  <c r="BF23" i="5"/>
  <c r="BF37" i="5"/>
  <c r="BF36" i="5"/>
  <c r="BF24" i="5"/>
  <c r="BF22" i="5"/>
  <c r="A298" i="13"/>
  <c r="A297" i="13"/>
  <c r="B298" i="13"/>
  <c r="B297" i="13"/>
  <c r="B302" i="13"/>
  <c r="B304" i="13"/>
  <c r="B300" i="13"/>
  <c r="B305" i="13"/>
  <c r="B301" i="13"/>
  <c r="B299" i="13"/>
  <c r="B303" i="13"/>
  <c r="AJ37" i="3"/>
  <c r="I37" i="3" s="1"/>
  <c r="AB37" i="3"/>
  <c r="T37" i="3"/>
  <c r="L37" i="3"/>
  <c r="AF37" i="3"/>
  <c r="A304" i="13" s="1"/>
  <c r="V37" i="3"/>
  <c r="J37" i="3"/>
  <c r="R37" i="3"/>
  <c r="H37" i="3"/>
  <c r="G37" i="3" s="1"/>
  <c r="AD37" i="3"/>
  <c r="P37" i="3"/>
  <c r="A300" i="13" s="1"/>
  <c r="Z37" i="3"/>
  <c r="N37" i="3"/>
  <c r="X37" i="3"/>
  <c r="A302" i="13" s="1"/>
  <c r="AH37" i="3"/>
  <c r="F37" i="9"/>
  <c r="E36" i="9"/>
  <c r="C39" i="15"/>
  <c r="E39" i="15" s="1"/>
  <c r="C45" i="2"/>
  <c r="B275" i="9"/>
  <c r="A276" i="9"/>
  <c r="A303" i="13" l="1"/>
  <c r="A299" i="13"/>
  <c r="A301" i="13"/>
  <c r="F38" i="9"/>
  <c r="E37" i="9"/>
  <c r="B325" i="13"/>
  <c r="B324" i="13"/>
  <c r="B323" i="13"/>
  <c r="B322" i="13"/>
  <c r="B321" i="13"/>
  <c r="B320" i="13"/>
  <c r="B319" i="13"/>
  <c r="A318" i="13"/>
  <c r="A317" i="13"/>
  <c r="B317" i="13"/>
  <c r="B318" i="13"/>
  <c r="AJ39" i="3"/>
  <c r="I39" i="3" s="1"/>
  <c r="AB39" i="3"/>
  <c r="T39" i="3"/>
  <c r="L39" i="3"/>
  <c r="Z39" i="3"/>
  <c r="P39" i="3"/>
  <c r="H39" i="3"/>
  <c r="G39" i="3" s="1"/>
  <c r="AD39" i="3"/>
  <c r="N39" i="3"/>
  <c r="X39" i="3"/>
  <c r="A322" i="13" s="1"/>
  <c r="J39" i="3"/>
  <c r="AH39" i="3"/>
  <c r="V39" i="3"/>
  <c r="AF39" i="3"/>
  <c r="A324" i="13" s="1"/>
  <c r="R39" i="3"/>
  <c r="C40" i="15"/>
  <c r="E40" i="15" s="1"/>
  <c r="C46" i="2"/>
  <c r="B276" i="9"/>
  <c r="A277" i="9"/>
  <c r="A305" i="13"/>
  <c r="B315" i="13"/>
  <c r="B314" i="13"/>
  <c r="B313" i="13"/>
  <c r="B312" i="13"/>
  <c r="B311" i="13"/>
  <c r="B310" i="13"/>
  <c r="A308" i="13"/>
  <c r="A307" i="13"/>
  <c r="B308" i="13"/>
  <c r="B307" i="13"/>
  <c r="B309" i="13"/>
  <c r="AJ38" i="3"/>
  <c r="I38" i="3" s="1"/>
  <c r="AB38" i="3"/>
  <c r="T38" i="3"/>
  <c r="L38" i="3"/>
  <c r="AH38" i="3"/>
  <c r="X38" i="3"/>
  <c r="N38" i="3"/>
  <c r="J38" i="3"/>
  <c r="V38" i="3"/>
  <c r="AF38" i="3"/>
  <c r="A314" i="13" s="1"/>
  <c r="R38" i="3"/>
  <c r="H38" i="3"/>
  <c r="G38" i="3" s="1"/>
  <c r="AD38" i="3"/>
  <c r="P38" i="3"/>
  <c r="Z38" i="3"/>
  <c r="B91" i="9"/>
  <c r="C189" i="15" s="1"/>
  <c r="A92" i="9"/>
  <c r="A310" i="13" l="1"/>
  <c r="A311" i="13"/>
  <c r="A313" i="13"/>
  <c r="A321" i="13"/>
  <c r="A312" i="13"/>
  <c r="A309" i="13"/>
  <c r="A320" i="13"/>
  <c r="A323" i="13"/>
  <c r="A319" i="13"/>
  <c r="A325" i="13"/>
  <c r="B92" i="9"/>
  <c r="C190" i="15" s="1"/>
  <c r="A93" i="9"/>
  <c r="A278" i="9"/>
  <c r="B277" i="9"/>
  <c r="A315" i="13"/>
  <c r="C41" i="15"/>
  <c r="E41" i="15" s="1"/>
  <c r="C47" i="2"/>
  <c r="F39" i="9"/>
  <c r="E38" i="9"/>
  <c r="C42" i="15" l="1"/>
  <c r="E42" i="15" s="1"/>
  <c r="C48" i="2"/>
  <c r="A279" i="9"/>
  <c r="B278" i="9"/>
  <c r="A94" i="9"/>
  <c r="B93" i="9"/>
  <c r="C191" i="15" s="1"/>
  <c r="F40" i="9"/>
  <c r="E39" i="9"/>
  <c r="F41" i="9" l="1"/>
  <c r="E40" i="9"/>
  <c r="B279" i="9"/>
  <c r="A280" i="9"/>
  <c r="C43" i="15"/>
  <c r="E43" i="15" s="1"/>
  <c r="C49" i="2"/>
  <c r="A95" i="9"/>
  <c r="B94" i="9"/>
  <c r="C192" i="15" s="1"/>
  <c r="B95" i="9" l="1"/>
  <c r="C193" i="15" s="1"/>
  <c r="A96" i="9"/>
  <c r="B280" i="9"/>
  <c r="A281" i="9"/>
  <c r="C44" i="15"/>
  <c r="E44" i="15" s="1"/>
  <c r="C50" i="2"/>
  <c r="F42" i="9"/>
  <c r="E41" i="9"/>
  <c r="A282" i="9" l="1"/>
  <c r="B281" i="9"/>
  <c r="B96" i="9"/>
  <c r="C194" i="15" s="1"/>
  <c r="A97" i="9"/>
  <c r="F43" i="9"/>
  <c r="E42" i="9"/>
  <c r="C45" i="15"/>
  <c r="E45" i="15" s="1"/>
  <c r="C51" i="2"/>
  <c r="E43" i="9" l="1"/>
  <c r="F44" i="9"/>
  <c r="C46" i="15"/>
  <c r="E46" i="15" s="1"/>
  <c r="C52" i="2"/>
  <c r="A98" i="9"/>
  <c r="B97" i="9"/>
  <c r="C195" i="15" s="1"/>
  <c r="A283" i="9"/>
  <c r="B282" i="9"/>
  <c r="B283" i="9" l="1"/>
  <c r="A284" i="9"/>
  <c r="C47" i="15"/>
  <c r="E47" i="15" s="1"/>
  <c r="C53" i="2"/>
  <c r="F45" i="9"/>
  <c r="E44" i="9"/>
  <c r="A99" i="9"/>
  <c r="B98" i="9"/>
  <c r="C196" i="15" s="1"/>
  <c r="C48" i="15" l="1"/>
  <c r="E48" i="15" s="1"/>
  <c r="C54" i="2"/>
  <c r="B99" i="9"/>
  <c r="C197" i="15" s="1"/>
  <c r="A100" i="9"/>
  <c r="B284" i="9"/>
  <c r="A285" i="9"/>
  <c r="F46" i="9"/>
  <c r="E45" i="9"/>
  <c r="F47" i="9" l="1"/>
  <c r="E46" i="9"/>
  <c r="B100" i="9"/>
  <c r="C198" i="15" s="1"/>
  <c r="A101" i="9"/>
  <c r="A286" i="9"/>
  <c r="B285" i="9"/>
  <c r="C49" i="15"/>
  <c r="E49" i="15" s="1"/>
  <c r="C55" i="2"/>
  <c r="C50" i="15" l="1"/>
  <c r="E50" i="15" s="1"/>
  <c r="C56" i="2"/>
  <c r="A102" i="9"/>
  <c r="B101" i="9"/>
  <c r="C199" i="15" s="1"/>
  <c r="A287" i="9"/>
  <c r="B286" i="9"/>
  <c r="F48" i="9"/>
  <c r="E47" i="9"/>
  <c r="F49" i="9" l="1"/>
  <c r="E48" i="9"/>
  <c r="A103" i="9"/>
  <c r="B102" i="9"/>
  <c r="C200" i="15" s="1"/>
  <c r="C51" i="15"/>
  <c r="E51" i="15" s="1"/>
  <c r="C57" i="2"/>
  <c r="B287" i="9"/>
  <c r="A288" i="9"/>
  <c r="B288" i="9" l="1"/>
  <c r="A289" i="9"/>
  <c r="B103" i="9"/>
  <c r="C201" i="15" s="1"/>
  <c r="A104" i="9"/>
  <c r="C52" i="15"/>
  <c r="E52" i="15" s="1"/>
  <c r="C58" i="2"/>
  <c r="F50" i="9"/>
  <c r="E49" i="9"/>
  <c r="B104" i="9" l="1"/>
  <c r="C202" i="15" s="1"/>
  <c r="A105" i="9"/>
  <c r="F51" i="9"/>
  <c r="E50" i="9"/>
  <c r="C53" i="15"/>
  <c r="E53" i="15" s="1"/>
  <c r="C59" i="2"/>
  <c r="A290" i="9"/>
  <c r="B289" i="9"/>
  <c r="A291" i="9" l="1"/>
  <c r="B290" i="9"/>
  <c r="F52" i="9"/>
  <c r="E52" i="9" s="1"/>
  <c r="E51" i="9"/>
  <c r="C54" i="15"/>
  <c r="E54" i="15" s="1"/>
  <c r="C60" i="2"/>
  <c r="A106" i="9"/>
  <c r="B105" i="9"/>
  <c r="C203" i="15" s="1"/>
  <c r="A107" i="9" l="1"/>
  <c r="B106" i="9"/>
  <c r="C204" i="15" s="1"/>
  <c r="C55" i="15"/>
  <c r="E55" i="15" s="1"/>
  <c r="C61" i="2"/>
  <c r="B291" i="9"/>
  <c r="A292" i="9"/>
  <c r="C56" i="15" l="1"/>
  <c r="E56" i="15" s="1"/>
  <c r="C62" i="2"/>
  <c r="B292" i="9"/>
  <c r="A293" i="9"/>
  <c r="B107" i="9"/>
  <c r="C205" i="15" s="1"/>
  <c r="A108" i="9"/>
  <c r="A294" i="9" l="1"/>
  <c r="B293" i="9"/>
  <c r="B108" i="9"/>
  <c r="C206" i="15" s="1"/>
  <c r="A109" i="9"/>
  <c r="C57" i="15"/>
  <c r="E57" i="15" s="1"/>
  <c r="C63" i="2"/>
  <c r="A110" i="9" l="1"/>
  <c r="B109" i="9"/>
  <c r="C207" i="15" s="1"/>
  <c r="C58" i="15"/>
  <c r="E58" i="15" s="1"/>
  <c r="C64" i="2"/>
  <c r="A295" i="9"/>
  <c r="B294" i="9"/>
  <c r="C59" i="15" l="1"/>
  <c r="E59" i="15" s="1"/>
  <c r="C65" i="2"/>
  <c r="B295" i="9"/>
  <c r="A296" i="9"/>
  <c r="A111" i="9"/>
  <c r="B110" i="9"/>
  <c r="C208" i="15" s="1"/>
  <c r="B296" i="9" l="1"/>
  <c r="A297" i="9"/>
  <c r="C60" i="15"/>
  <c r="E60" i="15" s="1"/>
  <c r="C66" i="2"/>
  <c r="B111" i="9"/>
  <c r="C209" i="15" s="1"/>
  <c r="A112" i="9"/>
  <c r="C61" i="15" l="1"/>
  <c r="E61" i="15" s="1"/>
  <c r="C67" i="2"/>
  <c r="A113" i="9"/>
  <c r="B112" i="9"/>
  <c r="C210" i="15" s="1"/>
  <c r="A298" i="9"/>
  <c r="B297" i="9"/>
  <c r="C62" i="15" l="1"/>
  <c r="E62" i="15" s="1"/>
  <c r="C68" i="2"/>
  <c r="A299" i="9"/>
  <c r="B298" i="9"/>
  <c r="A114" i="9"/>
  <c r="B113" i="9"/>
  <c r="C211" i="15" s="1"/>
  <c r="B299" i="9" l="1"/>
  <c r="A300" i="9"/>
  <c r="C63" i="15"/>
  <c r="E63" i="15" s="1"/>
  <c r="C69" i="2"/>
  <c r="A115" i="9"/>
  <c r="B114" i="9"/>
  <c r="C212" i="15" s="1"/>
  <c r="B300" i="9" l="1"/>
  <c r="A301" i="9"/>
  <c r="C64" i="15"/>
  <c r="E64" i="15" s="1"/>
  <c r="C70" i="2"/>
  <c r="B115" i="9"/>
  <c r="C213" i="15" s="1"/>
  <c r="A116" i="9"/>
  <c r="C65" i="15" l="1"/>
  <c r="E65" i="15" s="1"/>
  <c r="C71" i="2"/>
  <c r="A117" i="9"/>
  <c r="B116" i="9"/>
  <c r="C214" i="15" s="1"/>
  <c r="A302" i="9"/>
  <c r="B301" i="9"/>
  <c r="C66" i="15" l="1"/>
  <c r="E66" i="15" s="1"/>
  <c r="C72" i="2"/>
  <c r="A303" i="9"/>
  <c r="B302" i="9"/>
  <c r="A118" i="9"/>
  <c r="B117" i="9"/>
  <c r="C215" i="15" s="1"/>
  <c r="C67" i="15" l="1"/>
  <c r="E67" i="15" s="1"/>
  <c r="C73" i="2"/>
  <c r="A119" i="9"/>
  <c r="B118" i="9"/>
  <c r="C216" i="15" s="1"/>
  <c r="B303" i="9"/>
  <c r="A304" i="9"/>
  <c r="B119" i="9" l="1"/>
  <c r="C217" i="15" s="1"/>
  <c r="A120" i="9"/>
  <c r="B304" i="9"/>
  <c r="A305" i="9"/>
  <c r="C68" i="15"/>
  <c r="E68" i="15" s="1"/>
  <c r="C74" i="2"/>
  <c r="A306" i="9" l="1"/>
  <c r="B305" i="9"/>
  <c r="A121" i="9"/>
  <c r="B120" i="9"/>
  <c r="C218" i="15" s="1"/>
  <c r="C69" i="15"/>
  <c r="E69" i="15" s="1"/>
  <c r="C75" i="2"/>
  <c r="A122" i="9" l="1"/>
  <c r="B121" i="9"/>
  <c r="C219" i="15" s="1"/>
  <c r="C70" i="15"/>
  <c r="E70" i="15" s="1"/>
  <c r="C76" i="2"/>
  <c r="A307" i="9"/>
  <c r="B306" i="9"/>
  <c r="C71" i="15" l="1"/>
  <c r="E71" i="15" s="1"/>
  <c r="C77" i="2"/>
  <c r="B307" i="9"/>
  <c r="A308" i="9"/>
  <c r="B308" i="9" s="1"/>
  <c r="A123" i="9"/>
  <c r="B122" i="9"/>
  <c r="C220" i="15" s="1"/>
  <c r="C72" i="15" l="1"/>
  <c r="E72" i="15" s="1"/>
  <c r="C78" i="2"/>
  <c r="B123" i="9"/>
  <c r="C221" i="15" s="1"/>
  <c r="A124" i="9"/>
  <c r="C73" i="15" l="1"/>
  <c r="E73" i="15" s="1"/>
  <c r="C79" i="2"/>
  <c r="A125" i="9"/>
  <c r="B124" i="9"/>
  <c r="C222" i="15" s="1"/>
  <c r="C74" i="15" l="1"/>
  <c r="E74" i="15" s="1"/>
  <c r="C80" i="2"/>
  <c r="A126" i="9"/>
  <c r="B125" i="9"/>
  <c r="C223" i="15" s="1"/>
  <c r="C75" i="15" l="1"/>
  <c r="E75" i="15" s="1"/>
  <c r="C81" i="2"/>
  <c r="A127" i="9"/>
  <c r="B126" i="9"/>
  <c r="C224" i="15" s="1"/>
  <c r="C76" i="15" l="1"/>
  <c r="E76" i="15" s="1"/>
  <c r="C82" i="2"/>
  <c r="B127" i="9"/>
  <c r="C225" i="15" s="1"/>
  <c r="A128" i="9"/>
  <c r="C77" i="15" l="1"/>
  <c r="E77" i="15" s="1"/>
  <c r="C83" i="2"/>
  <c r="A129" i="9"/>
  <c r="B128" i="9"/>
  <c r="C226" i="15" s="1"/>
  <c r="C78" i="15" l="1"/>
  <c r="E78" i="15" s="1"/>
  <c r="C84" i="2"/>
  <c r="A130" i="9"/>
  <c r="B129" i="9"/>
  <c r="C227" i="15" s="1"/>
  <c r="C79" i="15" l="1"/>
  <c r="E79" i="15" s="1"/>
  <c r="C85" i="2"/>
  <c r="A131" i="9"/>
  <c r="B130" i="9"/>
  <c r="C228" i="15" s="1"/>
  <c r="C80" i="15" l="1"/>
  <c r="E80" i="15" s="1"/>
  <c r="C86" i="2"/>
  <c r="B131" i="9"/>
  <c r="C229" i="15" s="1"/>
  <c r="A132" i="9"/>
  <c r="C81" i="15" l="1"/>
  <c r="E81" i="15" s="1"/>
  <c r="C87" i="2"/>
  <c r="A133" i="9"/>
  <c r="B132" i="9"/>
  <c r="C230" i="15" s="1"/>
  <c r="A134" i="9" l="1"/>
  <c r="B133" i="9"/>
  <c r="C231" i="15" s="1"/>
  <c r="C82" i="15"/>
  <c r="E82" i="15" s="1"/>
  <c r="C88" i="2"/>
  <c r="C83" i="15" l="1"/>
  <c r="C89" i="2"/>
  <c r="A135" i="9"/>
  <c r="B134" i="9"/>
  <c r="C232" i="15" s="1"/>
  <c r="B135" i="9" l="1"/>
  <c r="C233" i="15" s="1"/>
  <c r="A136" i="9"/>
  <c r="C84" i="15"/>
  <c r="E84" i="15" s="1"/>
  <c r="C90" i="2"/>
  <c r="E83" i="15"/>
  <c r="C85" i="15" l="1"/>
  <c r="C91" i="2"/>
  <c r="A137" i="9"/>
  <c r="B136" i="9"/>
  <c r="C234" i="15" s="1"/>
  <c r="A138" i="9" l="1"/>
  <c r="B137" i="9"/>
  <c r="C235" i="15" s="1"/>
  <c r="C86" i="15"/>
  <c r="E86" i="15" s="1"/>
  <c r="C92" i="2"/>
  <c r="E85" i="15"/>
  <c r="C87" i="15" l="1"/>
  <c r="C93" i="2"/>
  <c r="A139" i="9"/>
  <c r="B138" i="9"/>
  <c r="C236" i="15" s="1"/>
  <c r="C88" i="15" l="1"/>
  <c r="E88" i="15" s="1"/>
  <c r="C94" i="2"/>
  <c r="B139" i="9"/>
  <c r="C237" i="15" s="1"/>
  <c r="A140" i="9"/>
  <c r="E87" i="15"/>
  <c r="C89" i="15" l="1"/>
  <c r="C95" i="2"/>
  <c r="A141" i="9"/>
  <c r="B140" i="9"/>
  <c r="C238" i="15" s="1"/>
  <c r="A142" i="9" l="1"/>
  <c r="B141" i="9"/>
  <c r="C239" i="15" s="1"/>
  <c r="C90" i="15"/>
  <c r="E90" i="15" s="1"/>
  <c r="C96" i="2"/>
  <c r="E89" i="15"/>
  <c r="C91" i="15" l="1"/>
  <c r="C97" i="2"/>
  <c r="A143" i="9"/>
  <c r="B142" i="9"/>
  <c r="C240" i="15" s="1"/>
  <c r="B143" i="9" l="1"/>
  <c r="C241" i="15" s="1"/>
  <c r="A144" i="9"/>
  <c r="C92" i="15"/>
  <c r="E92" i="15" s="1"/>
  <c r="C98" i="2"/>
  <c r="E91" i="15"/>
  <c r="A145" i="9" l="1"/>
  <c r="B144" i="9"/>
  <c r="C242" i="15" s="1"/>
  <c r="C93" i="15"/>
  <c r="E93" i="15" s="1"/>
  <c r="C99" i="2"/>
  <c r="C94" i="15" l="1"/>
  <c r="E94" i="15" s="1"/>
  <c r="C100" i="2"/>
  <c r="A146" i="9"/>
  <c r="B145" i="9"/>
  <c r="C243" i="15" s="1"/>
  <c r="C95" i="15" l="1"/>
  <c r="E95" i="15" s="1"/>
  <c r="C101" i="2"/>
  <c r="A147" i="9"/>
  <c r="B146" i="9"/>
  <c r="C244" i="15" s="1"/>
  <c r="C96" i="15" l="1"/>
  <c r="E96" i="15" s="1"/>
  <c r="C102" i="2"/>
  <c r="B147" i="9"/>
  <c r="C245" i="15" s="1"/>
  <c r="A148" i="9"/>
  <c r="C97" i="15" l="1"/>
  <c r="E97" i="15" s="1"/>
  <c r="C103" i="2"/>
  <c r="A149" i="9"/>
  <c r="B148" i="9"/>
  <c r="C246" i="15" s="1"/>
  <c r="C98" i="15" l="1"/>
  <c r="E98" i="15" s="1"/>
  <c r="C104" i="2"/>
  <c r="A150" i="9"/>
  <c r="B149" i="9"/>
  <c r="C247" i="15" s="1"/>
  <c r="C99" i="15" l="1"/>
  <c r="E99" i="15" s="1"/>
  <c r="C105" i="2"/>
  <c r="A151" i="9"/>
  <c r="B150" i="9"/>
  <c r="C248" i="15" s="1"/>
  <c r="C100" i="15" l="1"/>
  <c r="E100" i="15" s="1"/>
  <c r="C106" i="2"/>
  <c r="B151" i="9"/>
  <c r="C249" i="15" s="1"/>
  <c r="A152" i="9"/>
  <c r="C101" i="15" l="1"/>
  <c r="E101" i="15" s="1"/>
  <c r="C107" i="2"/>
  <c r="A153" i="9"/>
  <c r="B152" i="9"/>
  <c r="C250" i="15" s="1"/>
  <c r="C102" i="15" l="1"/>
  <c r="E102" i="15" s="1"/>
  <c r="D375" i="15" s="1"/>
  <c r="T12" i="15"/>
  <c r="U14" i="15"/>
  <c r="S5" i="15"/>
  <c r="U12" i="15"/>
  <c r="T14" i="15"/>
  <c r="T8" i="15"/>
  <c r="U6" i="15"/>
  <c r="T5" i="15"/>
  <c r="U7" i="15"/>
  <c r="T13" i="15"/>
  <c r="U8" i="15"/>
  <c r="T7" i="15"/>
  <c r="T9" i="15"/>
  <c r="U4" i="15"/>
  <c r="S9" i="15"/>
  <c r="S14" i="15"/>
  <c r="T10" i="15"/>
  <c r="U11" i="15"/>
  <c r="S7" i="15"/>
  <c r="S8" i="15"/>
  <c r="T6" i="15"/>
  <c r="S13" i="15"/>
  <c r="S10" i="15"/>
  <c r="U9" i="15"/>
  <c r="V5" i="15"/>
  <c r="U5" i="15"/>
  <c r="S6" i="15"/>
  <c r="T4" i="15"/>
  <c r="S12" i="15"/>
  <c r="U13" i="15"/>
  <c r="S11" i="15"/>
  <c r="U10" i="15"/>
  <c r="T11" i="15"/>
  <c r="A154" i="9"/>
  <c r="B153" i="9"/>
  <c r="C251" i="15" s="1"/>
  <c r="A155" i="9" l="1"/>
  <c r="B154" i="9"/>
  <c r="C252" i="15" s="1"/>
  <c r="A84" i="11"/>
  <c r="A36" i="11"/>
  <c r="W124" i="15"/>
  <c r="T121" i="15"/>
  <c r="V115" i="15"/>
  <c r="W108" i="15"/>
  <c r="V128" i="15"/>
  <c r="V112" i="15"/>
  <c r="S105" i="15"/>
  <c r="W115" i="15"/>
  <c r="A76" i="11"/>
  <c r="W120" i="15"/>
  <c r="V111" i="15"/>
  <c r="V110" i="15"/>
  <c r="A60" i="11"/>
  <c r="U126" i="15"/>
  <c r="V123" i="15"/>
  <c r="W116" i="15"/>
  <c r="V107" i="15"/>
  <c r="W129" i="15"/>
  <c r="T126" i="15"/>
  <c r="V120" i="15"/>
  <c r="W113" i="15"/>
  <c r="W126" i="15"/>
  <c r="W110" i="15"/>
  <c r="W119" i="15"/>
  <c r="V106" i="15"/>
  <c r="V118" i="15"/>
  <c r="U121" i="15"/>
  <c r="U105" i="15"/>
  <c r="V121" i="15"/>
  <c r="A68" i="11"/>
  <c r="V130" i="15"/>
  <c r="W128" i="15"/>
  <c r="V119" i="15"/>
  <c r="W112" i="15"/>
  <c r="W125" i="15"/>
  <c r="V116" i="15"/>
  <c r="W109" i="15"/>
  <c r="V129" i="15"/>
  <c r="W122" i="15"/>
  <c r="V113" i="15"/>
  <c r="W106" i="15"/>
  <c r="V114" i="15"/>
  <c r="V126" i="15"/>
  <c r="W107" i="15"/>
  <c r="T105" i="15"/>
  <c r="W121" i="15"/>
  <c r="V125" i="15"/>
  <c r="W118" i="15"/>
  <c r="V109" i="15"/>
  <c r="A52" i="11"/>
  <c r="A44" i="11"/>
  <c r="A92" i="11"/>
  <c r="V124" i="15"/>
  <c r="W117" i="15"/>
  <c r="V108" i="15"/>
  <c r="W130" i="15"/>
  <c r="W114" i="15"/>
  <c r="V105" i="15"/>
  <c r="W111" i="15"/>
  <c r="W123" i="15"/>
  <c r="A100" i="11"/>
  <c r="A77" i="11"/>
  <c r="A45" i="11"/>
  <c r="A85" i="11"/>
  <c r="A37" i="11"/>
  <c r="A69" i="11"/>
  <c r="A101" i="11"/>
  <c r="A93" i="11"/>
  <c r="A61" i="11"/>
  <c r="A53" i="11"/>
  <c r="A13" i="11"/>
  <c r="A12" i="11"/>
  <c r="A20" i="11"/>
  <c r="A29" i="11"/>
  <c r="B155" i="9" l="1"/>
  <c r="C253" i="15" s="1"/>
  <c r="A156" i="9"/>
  <c r="A157" i="9" l="1"/>
  <c r="B156" i="9"/>
  <c r="C254" i="15" s="1"/>
  <c r="A158" i="9" l="1"/>
  <c r="B157" i="9"/>
  <c r="C255" i="15" s="1"/>
  <c r="A159" i="9" l="1"/>
  <c r="B158" i="9"/>
  <c r="C256" i="15" s="1"/>
  <c r="B159" i="9" l="1"/>
  <c r="C257" i="15" s="1"/>
  <c r="A160" i="9"/>
  <c r="A161" i="9" l="1"/>
  <c r="B160" i="9"/>
  <c r="C258" i="15" s="1"/>
  <c r="A162" i="9" l="1"/>
  <c r="B161" i="9"/>
  <c r="C259" i="15" s="1"/>
  <c r="A163" i="9" l="1"/>
  <c r="B162" i="9"/>
  <c r="C260" i="15" s="1"/>
  <c r="B163" i="9" l="1"/>
  <c r="C261" i="15" s="1"/>
  <c r="A164" i="9"/>
  <c r="A165" i="9" l="1"/>
  <c r="B164" i="9"/>
  <c r="C262" i="15" s="1"/>
  <c r="A166" i="9" l="1"/>
  <c r="B165" i="9"/>
  <c r="C263" i="15" s="1"/>
  <c r="A167" i="9" l="1"/>
  <c r="B166" i="9"/>
  <c r="C264" i="15" s="1"/>
  <c r="B167" i="9" l="1"/>
  <c r="C265" i="15" s="1"/>
  <c r="A168" i="9"/>
  <c r="A169" i="9" l="1"/>
  <c r="B168" i="9"/>
  <c r="C266" i="15" s="1"/>
  <c r="A170" i="9" l="1"/>
  <c r="B169" i="9"/>
  <c r="C267" i="15" s="1"/>
  <c r="A171" i="9" l="1"/>
  <c r="B170" i="9"/>
  <c r="C268" i="15" s="1"/>
  <c r="B171" i="9" l="1"/>
  <c r="C269" i="15" s="1"/>
  <c r="A172" i="9"/>
  <c r="A173" i="9" l="1"/>
  <c r="B172" i="9"/>
  <c r="C270" i="15" s="1"/>
  <c r="A174" i="9" l="1"/>
  <c r="B173" i="9"/>
  <c r="C271" i="15" s="1"/>
  <c r="A175" i="9" l="1"/>
  <c r="B174" i="9"/>
  <c r="C272" i="15" s="1"/>
  <c r="B175" i="9" l="1"/>
  <c r="C273" i="15" s="1"/>
  <c r="A176" i="9"/>
  <c r="A177" i="9" l="1"/>
  <c r="B176" i="9"/>
  <c r="C274" i="15" s="1"/>
  <c r="A178" i="9" l="1"/>
  <c r="B177" i="9"/>
  <c r="C275" i="15" s="1"/>
  <c r="A179" i="9" l="1"/>
  <c r="B178" i="9"/>
  <c r="C276" i="15" s="1"/>
  <c r="B179" i="9" l="1"/>
  <c r="C277" i="15" s="1"/>
  <c r="A180" i="9"/>
  <c r="A181" i="9" l="1"/>
  <c r="B180" i="9"/>
  <c r="C278" i="15" s="1"/>
  <c r="A182" i="9" l="1"/>
  <c r="B181" i="9"/>
  <c r="C279" i="15" s="1"/>
  <c r="A183" i="9" l="1"/>
  <c r="B182" i="9"/>
  <c r="C280" i="15" s="1"/>
  <c r="B183" i="9" l="1"/>
  <c r="C281" i="15" s="1"/>
  <c r="A184" i="9"/>
  <c r="A185" i="9" l="1"/>
  <c r="B184" i="9"/>
  <c r="C282" i="15" s="1"/>
  <c r="A186" i="9" l="1"/>
  <c r="B185" i="9"/>
  <c r="C283" i="15" s="1"/>
  <c r="A187" i="9" l="1"/>
  <c r="B186" i="9"/>
  <c r="C284" i="15" s="1"/>
  <c r="B187" i="9" l="1"/>
  <c r="C285" i="15" s="1"/>
  <c r="A188" i="9"/>
  <c r="A189" i="9" l="1"/>
  <c r="B188" i="9"/>
  <c r="C286" i="15" s="1"/>
  <c r="A190" i="9" l="1"/>
  <c r="B189" i="9"/>
  <c r="C287" i="15" s="1"/>
  <c r="A191" i="9" l="1"/>
  <c r="B190" i="9"/>
  <c r="C288" i="15" s="1"/>
  <c r="B191" i="9" l="1"/>
  <c r="C289" i="15" s="1"/>
  <c r="A192" i="9"/>
  <c r="A193" i="9" l="1"/>
  <c r="B192" i="9"/>
  <c r="C290" i="15" s="1"/>
  <c r="A194" i="9" l="1"/>
  <c r="B193" i="9"/>
  <c r="C291" i="15" s="1"/>
  <c r="A195" i="9" l="1"/>
  <c r="B194" i="9"/>
  <c r="C292" i="15" s="1"/>
  <c r="B195" i="9" l="1"/>
  <c r="C293" i="15" s="1"/>
  <c r="A196" i="9"/>
  <c r="A197" i="9" l="1"/>
  <c r="B196" i="9"/>
  <c r="C294" i="15" s="1"/>
  <c r="A198" i="9" l="1"/>
  <c r="B197" i="9"/>
  <c r="C295" i="15" s="1"/>
  <c r="A199" i="9" l="1"/>
  <c r="B198" i="9"/>
  <c r="C296" i="15" s="1"/>
  <c r="B199" i="9" l="1"/>
  <c r="C297" i="15" s="1"/>
  <c r="A200" i="9"/>
  <c r="A201" i="9" l="1"/>
  <c r="B200" i="9"/>
  <c r="C298" i="15" s="1"/>
  <c r="A202" i="9" l="1"/>
  <c r="B201" i="9"/>
  <c r="C299" i="15" s="1"/>
  <c r="A203" i="9" l="1"/>
  <c r="B202" i="9"/>
  <c r="C300" i="15" s="1"/>
  <c r="B203" i="9" l="1"/>
  <c r="C301" i="15" s="1"/>
  <c r="A204" i="9"/>
  <c r="A205" i="9" l="1"/>
  <c r="B204" i="9"/>
  <c r="C302" i="15" s="1"/>
  <c r="A206" i="9" l="1"/>
  <c r="B205" i="9"/>
  <c r="C303" i="15" s="1"/>
  <c r="A207" i="9" l="1"/>
  <c r="B206" i="9"/>
  <c r="C304" i="15" s="1"/>
  <c r="B207" i="9" l="1"/>
  <c r="C305" i="15" s="1"/>
  <c r="A208" i="9"/>
  <c r="A209" i="9" l="1"/>
  <c r="B208" i="9"/>
  <c r="C306" i="15" s="1"/>
  <c r="A210" i="9" l="1"/>
  <c r="B209" i="9"/>
  <c r="C307" i="15" s="1"/>
  <c r="A211" i="9" l="1"/>
  <c r="B210" i="9"/>
  <c r="C308" i="15" s="1"/>
  <c r="B211" i="9" l="1"/>
  <c r="C309" i="15" s="1"/>
  <c r="A212" i="9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</calcChain>
</file>

<file path=xl/sharedStrings.xml><?xml version="1.0" encoding="utf-8"?>
<sst xmlns="http://schemas.openxmlformats.org/spreadsheetml/2006/main" count="6016" uniqueCount="1207">
  <si>
    <t>Const. ID</t>
  </si>
  <si>
    <t>Const. SurfaceType</t>
  </si>
  <si>
    <t>Const. Name</t>
  </si>
  <si>
    <t>Const. Type</t>
  </si>
  <si>
    <t>Const. TemplID</t>
  </si>
  <si>
    <t>Const. TemplName</t>
  </si>
  <si>
    <t>Const. TemplScenario</t>
  </si>
  <si>
    <t>Const. Thermal Uvalue</t>
  </si>
  <si>
    <t>Const. Thermal Rvalue</t>
  </si>
  <si>
    <t>Const. Lyr1 TempMatID</t>
  </si>
  <si>
    <t>Const. Lyr1 Scenario</t>
  </si>
  <si>
    <t>Const. Lyr2 TempMatID</t>
  </si>
  <si>
    <t>Const. Lyr2 Scenario</t>
  </si>
  <si>
    <t>Const. Lyr3 TempMatID</t>
  </si>
  <si>
    <t>Const. Lyr3 Scenario</t>
  </si>
  <si>
    <t>Const. Lyr4 TempMatID</t>
  </si>
  <si>
    <t>Const. Lyr4 Scenario</t>
  </si>
  <si>
    <t>Const. Lyr5 TempMatID</t>
  </si>
  <si>
    <t>Const. Lyr5 Scenario</t>
  </si>
  <si>
    <t>Const. Notes</t>
  </si>
  <si>
    <t>Const Type2</t>
  </si>
  <si>
    <t>CONSTRUCTIONS</t>
  </si>
  <si>
    <t>Names</t>
  </si>
  <si>
    <t>Thermal</t>
  </si>
  <si>
    <t>Material Layers for Construction Type</t>
  </si>
  <si>
    <t>#</t>
  </si>
  <si>
    <t>Surface Type</t>
  </si>
  <si>
    <t>Template Construction</t>
  </si>
  <si>
    <r>
      <t>U</t>
    </r>
    <r>
      <rPr>
        <b/>
        <vertAlign val="subscript"/>
        <sz val="11"/>
        <rFont val="Arial Narrow"/>
        <family val="2"/>
      </rPr>
      <t>T</t>
    </r>
  </si>
  <si>
    <r>
      <t>R</t>
    </r>
    <r>
      <rPr>
        <b/>
        <vertAlign val="subscript"/>
        <sz val="11"/>
        <rFont val="Arial Narrow"/>
        <family val="2"/>
      </rPr>
      <t>W</t>
    </r>
  </si>
  <si>
    <t>Layer 1 (Outer)</t>
  </si>
  <si>
    <t>Layer 2</t>
  </si>
  <si>
    <t>Layer 3</t>
  </si>
  <si>
    <t>Layer 4</t>
  </si>
  <si>
    <t>Layer 5</t>
  </si>
  <si>
    <t>Notes</t>
  </si>
  <si>
    <t>Sim. Scenario</t>
  </si>
  <si>
    <r>
      <t>W/m</t>
    </r>
    <r>
      <rPr>
        <vertAlign val="superscript"/>
        <sz val="9"/>
        <rFont val="Arial Narrow"/>
        <family val="2"/>
      </rPr>
      <t>2</t>
    </r>
    <r>
      <rPr>
        <sz val="9"/>
        <rFont val="Arial Narrow"/>
        <family val="2"/>
      </rPr>
      <t>∙K</t>
    </r>
  </si>
  <si>
    <r>
      <t>m</t>
    </r>
    <r>
      <rPr>
        <vertAlign val="superscript"/>
        <sz val="10"/>
        <rFont val="Arial Narrow"/>
        <family val="2"/>
      </rPr>
      <t>2</t>
    </r>
    <r>
      <rPr>
        <sz val="9"/>
        <rFont val="Arial Narrow"/>
        <family val="2"/>
      </rPr>
      <t>∙K/W</t>
    </r>
  </si>
  <si>
    <t># / ID</t>
  </si>
  <si>
    <t>ID</t>
  </si>
  <si>
    <t>Material Name</t>
  </si>
  <si>
    <t>Surface Types</t>
  </si>
  <si>
    <t>Scenario</t>
  </si>
  <si>
    <t>Exterior wall</t>
  </si>
  <si>
    <t>Mass walls</t>
  </si>
  <si>
    <t>Baseline</t>
  </si>
  <si>
    <t>EW</t>
  </si>
  <si>
    <t>Ext. Wall Const.</t>
  </si>
  <si>
    <t>Ext Walls 2</t>
  </si>
  <si>
    <t>Adiabatic wall</t>
  </si>
  <si>
    <t>AW</t>
  </si>
  <si>
    <t>Proposed</t>
  </si>
  <si>
    <t>Adb.Wall Const.</t>
  </si>
  <si>
    <t>Ext Walls 3</t>
  </si>
  <si>
    <t>Interzone wall</t>
  </si>
  <si>
    <t>IW</t>
  </si>
  <si>
    <t>Alternative 1</t>
  </si>
  <si>
    <t>Int.Zn Wall Const.</t>
  </si>
  <si>
    <t>P4a Int Walls</t>
  </si>
  <si>
    <t>Underground wall</t>
  </si>
  <si>
    <t>UW</t>
  </si>
  <si>
    <t>Alternative 2</t>
  </si>
  <si>
    <t>Und. Wall Const.</t>
  </si>
  <si>
    <t>Adiabatic Floor</t>
  </si>
  <si>
    <t>P2 Walls</t>
  </si>
  <si>
    <t>Ceiling</t>
  </si>
  <si>
    <t>CE</t>
  </si>
  <si>
    <t>Alternative 3</t>
  </si>
  <si>
    <t>Ceiling Const.</t>
  </si>
  <si>
    <t>Interior adiabatic wall</t>
  </si>
  <si>
    <t>P3 Walls</t>
  </si>
  <si>
    <t>AF</t>
  </si>
  <si>
    <t>Alternative 4</t>
  </si>
  <si>
    <t>Adb. Flr. Const.</t>
  </si>
  <si>
    <t>P1 Walls</t>
  </si>
  <si>
    <t>Interzone floor</t>
  </si>
  <si>
    <t>IF</t>
  </si>
  <si>
    <t>Alternative 5</t>
  </si>
  <si>
    <t>Int.Zn. Flr Const.</t>
  </si>
  <si>
    <t>Tile Ceiling</t>
  </si>
  <si>
    <t>On grade floor</t>
  </si>
  <si>
    <t>GF</t>
  </si>
  <si>
    <t>Alternative 6</t>
  </si>
  <si>
    <t>Grade Flr. Const.</t>
  </si>
  <si>
    <t>Level 2-6 Slab</t>
  </si>
  <si>
    <t>Roof</t>
  </si>
  <si>
    <t>RF</t>
  </si>
  <si>
    <t>Alternative 7</t>
  </si>
  <si>
    <t>Roof Const.</t>
  </si>
  <si>
    <t>Slab on grade Block A</t>
  </si>
  <si>
    <t>Concrete/Block UG walls</t>
  </si>
  <si>
    <t>Block A</t>
  </si>
  <si>
    <t/>
  </si>
  <si>
    <t>Mat. ID</t>
  </si>
  <si>
    <t>Mat. Name</t>
  </si>
  <si>
    <t>Mat. Type</t>
  </si>
  <si>
    <t>Mat. TemplID</t>
  </si>
  <si>
    <t>Mat. TemplName</t>
  </si>
  <si>
    <t>Mat. Nominal RSI</t>
  </si>
  <si>
    <t>Mat. Thickness</t>
  </si>
  <si>
    <t>Mat. Density</t>
  </si>
  <si>
    <t>Mat. Spec.Heat</t>
  </si>
  <si>
    <t>Mat. Conductivity</t>
  </si>
  <si>
    <t>Mat. ThermalAbs.</t>
  </si>
  <si>
    <t>Mat. SolarAbs.</t>
  </si>
  <si>
    <t>Mat. VisibleAbs.</t>
  </si>
  <si>
    <t>Mat. Roughness</t>
  </si>
  <si>
    <t>Mat. Notes</t>
  </si>
  <si>
    <t>MATERIALS</t>
  </si>
  <si>
    <t>Material Properties</t>
  </si>
  <si>
    <t>Materials Name</t>
  </si>
  <si>
    <t>Material Type</t>
  </si>
  <si>
    <t>Template Material #</t>
  </si>
  <si>
    <t>Template Material Name</t>
  </si>
  <si>
    <t>Nom. RSI</t>
  </si>
  <si>
    <t>Thick-ness</t>
  </si>
  <si>
    <t>Density</t>
  </si>
  <si>
    <t>Specific Heat</t>
  </si>
  <si>
    <t>Conduct-ivity</t>
  </si>
  <si>
    <t>Thermal Abs.</t>
  </si>
  <si>
    <t>Solar Abs.</t>
  </si>
  <si>
    <t>Visible Abs.</t>
  </si>
  <si>
    <t>Roughness</t>
  </si>
  <si>
    <r>
      <t>m</t>
    </r>
    <r>
      <rPr>
        <vertAlign val="superscript"/>
        <sz val="10"/>
        <rFont val="Arial Narrow"/>
        <family val="2"/>
      </rPr>
      <t>2</t>
    </r>
    <r>
      <rPr>
        <sz val="9"/>
        <rFont val="Arial Narrow"/>
        <family val="2"/>
      </rPr>
      <t>·K/W</t>
    </r>
  </si>
  <si>
    <t>mm</t>
  </si>
  <si>
    <t>kg/m3</t>
  </si>
  <si>
    <t>J/kg∙K</t>
  </si>
  <si>
    <t>W/m∙K</t>
  </si>
  <si>
    <r>
      <t>α</t>
    </r>
    <r>
      <rPr>
        <b/>
        <vertAlign val="subscript"/>
        <sz val="9"/>
        <rFont val="Arial Narrow"/>
        <family val="2"/>
      </rPr>
      <t>L</t>
    </r>
  </si>
  <si>
    <r>
      <t>α</t>
    </r>
    <r>
      <rPr>
        <b/>
        <vertAlign val="subscript"/>
        <sz val="9"/>
        <rFont val="Arial Narrow"/>
        <family val="2"/>
      </rPr>
      <t>S</t>
    </r>
  </si>
  <si>
    <r>
      <t>α</t>
    </r>
    <r>
      <rPr>
        <b/>
        <vertAlign val="subscript"/>
        <sz val="9"/>
        <rFont val="Arial Narrow"/>
        <family val="2"/>
      </rPr>
      <t>V</t>
    </r>
  </si>
  <si>
    <t>None</t>
  </si>
  <si>
    <t>Regular</t>
  </si>
  <si>
    <t>AirSpace</t>
  </si>
  <si>
    <t>Air Gap</t>
  </si>
  <si>
    <t>Cellular glass insulation 75 mm</t>
  </si>
  <si>
    <t>16mm gypsum board</t>
  </si>
  <si>
    <t>Built Up Roofing</t>
  </si>
  <si>
    <t>Medium weight brick</t>
  </si>
  <si>
    <t>WinConst. ID</t>
  </si>
  <si>
    <t>WinConst. Name</t>
  </si>
  <si>
    <t>WinConst. Templ.ID</t>
  </si>
  <si>
    <t>WinConst. Templ.Name</t>
  </si>
  <si>
    <t>WinConst. TemplScenario</t>
  </si>
  <si>
    <t>WinConst. Nominal Uvalue</t>
  </si>
  <si>
    <t>WinConst. Nominal Rvalue</t>
  </si>
  <si>
    <t>WinConst. NumLyr</t>
  </si>
  <si>
    <t>WinConst. Lyr1 Scenario</t>
  </si>
  <si>
    <t>WinConst. Lyr2 Scenario</t>
  </si>
  <si>
    <t>WinConst. Lyr3 Scenario</t>
  </si>
  <si>
    <t>WinConst. Lyr4 Scenario</t>
  </si>
  <si>
    <t>WinConst. Lyr5 Scenario</t>
  </si>
  <si>
    <t>WinConst. Lyr6 Scenario</t>
  </si>
  <si>
    <t>WinConst. Lyr7 Scenario</t>
  </si>
  <si>
    <t>WinConst. Notes</t>
  </si>
  <si>
    <t>WINDOW CONSTRUCTIONS</t>
  </si>
  <si>
    <t>Project Name:</t>
  </si>
  <si>
    <t>Project No:</t>
  </si>
  <si>
    <t>Construction Names</t>
  </si>
  <si>
    <t>Nominal Performance</t>
  </si>
  <si>
    <t>Glass Type in Layers for Window Construction</t>
  </si>
  <si>
    <t>Construction Name</t>
  </si>
  <si>
    <t>Template Construction Name</t>
  </si>
  <si>
    <r>
      <t>U</t>
    </r>
    <r>
      <rPr>
        <b/>
        <vertAlign val="subscript"/>
        <sz val="11"/>
        <rFont val="Arial"/>
        <family val="2"/>
      </rPr>
      <t>T</t>
    </r>
  </si>
  <si>
    <r>
      <t>R</t>
    </r>
    <r>
      <rPr>
        <b/>
        <vertAlign val="subscript"/>
        <sz val="11"/>
        <rFont val="Arial"/>
        <family val="2"/>
      </rPr>
      <t>W</t>
    </r>
  </si>
  <si>
    <t># layers</t>
  </si>
  <si>
    <t>Layer 6</t>
  </si>
  <si>
    <t>Layer 7</t>
  </si>
  <si>
    <r>
      <t>W/m</t>
    </r>
    <r>
      <rPr>
        <vertAlign val="superscript"/>
        <sz val="10"/>
        <rFont val="Arial Narrow"/>
        <family val="2"/>
      </rPr>
      <t>2</t>
    </r>
    <r>
      <rPr>
        <sz val="10"/>
        <rFont val="Arial Narrow"/>
        <family val="2"/>
      </rPr>
      <t>∙K</t>
    </r>
  </si>
  <si>
    <r>
      <t>m</t>
    </r>
    <r>
      <rPr>
        <vertAlign val="superscript"/>
        <sz val="10"/>
        <rFont val="Arial Narrow"/>
        <family val="2"/>
      </rPr>
      <t>2</t>
    </r>
    <r>
      <rPr>
        <sz val="10"/>
        <rFont val="Arial Narrow"/>
        <family val="2"/>
      </rPr>
      <t>∙K/W</t>
    </r>
  </si>
  <si>
    <t>G1</t>
  </si>
  <si>
    <t>G2</t>
  </si>
  <si>
    <t>G3</t>
  </si>
  <si>
    <t>G4</t>
  </si>
  <si>
    <t>G5</t>
  </si>
  <si>
    <t>WinMat. ID</t>
  </si>
  <si>
    <t>WinMat. Name</t>
  </si>
  <si>
    <t>WinMat. Type</t>
  </si>
  <si>
    <t>WinMat. CalcType</t>
  </si>
  <si>
    <t>WinMat.  SHGC</t>
  </si>
  <si>
    <t>WinMat. RSI</t>
  </si>
  <si>
    <t>WinMat. VisibleTrans.</t>
  </si>
  <si>
    <t>WinMat. DataSetName</t>
  </si>
  <si>
    <t>WinMat. Thickness</t>
  </si>
  <si>
    <t>WinMat. NormSolarTrans</t>
  </si>
  <si>
    <t>WinMat. NormSolarReflFront</t>
  </si>
  <si>
    <t>WinMat. NormSolarReflBack</t>
  </si>
  <si>
    <t>WinMat. NormVisibleTrans</t>
  </si>
  <si>
    <t>WinMat. NormVisibleReflFront</t>
  </si>
  <si>
    <t>WinMat. NormVisibleReflBack</t>
  </si>
  <si>
    <t>WinMat. NormInfrTrans</t>
  </si>
  <si>
    <t>WinMat. HemiEmisFront</t>
  </si>
  <si>
    <t>WinMat. HemiEmisBack</t>
  </si>
  <si>
    <t>WinMat. Conductivity</t>
  </si>
  <si>
    <t>WinMat. DirtCorrFactor</t>
  </si>
  <si>
    <t>WinMat. Translucent</t>
  </si>
  <si>
    <t>WINDOW MATERIALS</t>
  </si>
  <si>
    <t>Glass Optical Properties</t>
  </si>
  <si>
    <t>Calc Type</t>
  </si>
  <si>
    <t>SHGC Normal Incidence</t>
  </si>
  <si>
    <t>RSI</t>
  </si>
  <si>
    <t>Visible Trans.</t>
  </si>
  <si>
    <t>DataSet Name</t>
  </si>
  <si>
    <t>Norm. Solar
Trans.</t>
  </si>
  <si>
    <t>Norm. Solar
Refl Front</t>
  </si>
  <si>
    <t>Norm. Solar
Refl Back</t>
  </si>
  <si>
    <t>Norm. Visible
Trans.</t>
  </si>
  <si>
    <t>Norm. Visible Refl Front</t>
  </si>
  <si>
    <t>Norm. Visible Refl Back</t>
  </si>
  <si>
    <t>Norm Infrared
Trans</t>
  </si>
  <si>
    <t>Hemi.
ε
Front</t>
  </si>
  <si>
    <t>Hemi. 
ε
Back</t>
  </si>
  <si>
    <t>Cond.
k</t>
  </si>
  <si>
    <t>Dirt Corr. Factor</t>
  </si>
  <si>
    <t>Transl-ucent?</t>
  </si>
  <si>
    <t>-</t>
  </si>
  <si>
    <r>
      <t>m</t>
    </r>
    <r>
      <rPr>
        <vertAlign val="superscript"/>
        <sz val="10"/>
        <rFont val="Arial Narrow"/>
        <family val="2"/>
      </rPr>
      <t>2</t>
    </r>
    <r>
      <rPr>
        <sz val="10"/>
        <rFont val="Arial Narrow"/>
        <family val="2"/>
      </rPr>
      <t>-K/W</t>
    </r>
  </si>
  <si>
    <t>(mm)</t>
  </si>
  <si>
    <t>Ts</t>
  </si>
  <si>
    <t>Rfs</t>
  </si>
  <si>
    <t>Rbs</t>
  </si>
  <si>
    <t>Tv</t>
  </si>
  <si>
    <t>Rfv</t>
  </si>
  <si>
    <t>Rbv</t>
  </si>
  <si>
    <t>Tir</t>
  </si>
  <si>
    <t>Ef</t>
  </si>
  <si>
    <t>Eb</t>
  </si>
  <si>
    <t>(W/m∙K)</t>
  </si>
  <si>
    <t>Glass</t>
  </si>
  <si>
    <t>SpectralAverage</t>
  </si>
  <si>
    <t>No</t>
  </si>
  <si>
    <t>!   Th:  Thickness (m)</t>
  </si>
  <si>
    <t>!   Ts:  Solar Transmittance at Normal Incidence</t>
  </si>
  <si>
    <t>!   Rfs: Front Side Solar Reflectance at Normal Incidence</t>
  </si>
  <si>
    <t>!   Rbs: Back Side Solar Reflectance at Normal Incidence</t>
  </si>
  <si>
    <t>!   Tv:  Visible Transmittance at Normal Incidence</t>
  </si>
  <si>
    <t>!   Rfv: Front Side Visible Reflectance at Normal Incidence</t>
  </si>
  <si>
    <t>!   Rbv: Back Side Visible Reflectance at Normal Incidence</t>
  </si>
  <si>
    <t>!   Tir: Infrared Transmittance at Normal Incidence</t>
  </si>
  <si>
    <t>!   Ef:  Front Side Infrared Hemispherical Emissivity</t>
  </si>
  <si>
    <t>!   Eb:  Back Side Infrared Hemispherical Emissivity</t>
  </si>
  <si>
    <t>!   Con: Conductivity {W/m-K}</t>
  </si>
  <si>
    <t>ID 1</t>
  </si>
  <si>
    <t>CLEAR 2.5MM</t>
  </si>
  <si>
    <t>ID 2</t>
  </si>
  <si>
    <t>CLEAR 3MM</t>
  </si>
  <si>
    <t>ID 3</t>
  </si>
  <si>
    <t>CLEAR 6MM</t>
  </si>
  <si>
    <t>ID 4</t>
  </si>
  <si>
    <t>CLEAR 12MM</t>
  </si>
  <si>
    <t>ID 5</t>
  </si>
  <si>
    <t>BRONZE 3MM</t>
  </si>
  <si>
    <t>ID 6</t>
  </si>
  <si>
    <t>BRONZE 6MM</t>
  </si>
  <si>
    <t>ID 7</t>
  </si>
  <si>
    <t>BRONZE 10MM</t>
  </si>
  <si>
    <t>ID 8</t>
  </si>
  <si>
    <t>GREY 3MM</t>
  </si>
  <si>
    <t>ID 9</t>
  </si>
  <si>
    <t>GREY 6MM</t>
  </si>
  <si>
    <t>ID 10</t>
  </si>
  <si>
    <t>GREY 12MM</t>
  </si>
  <si>
    <t>ID 11</t>
  </si>
  <si>
    <t>GREEN 3MM</t>
  </si>
  <si>
    <t>ID 12</t>
  </si>
  <si>
    <t>GREEN 6MM</t>
  </si>
  <si>
    <t>ID 13</t>
  </si>
  <si>
    <t>LOW IRON 2.5MM</t>
  </si>
  <si>
    <t>ID 14</t>
  </si>
  <si>
    <t>LOW IRON 3MM</t>
  </si>
  <si>
    <t>ID 15</t>
  </si>
  <si>
    <t>LOW IRON 4MM</t>
  </si>
  <si>
    <t>ID 16</t>
  </si>
  <si>
    <t>LOW IRON 5MM</t>
  </si>
  <si>
    <t>ID 17</t>
  </si>
  <si>
    <t>BLUE 6MM</t>
  </si>
  <si>
    <t>ID 200</t>
  </si>
  <si>
    <t>REF A CLEAR LO 6MM</t>
  </si>
  <si>
    <t>ID 201</t>
  </si>
  <si>
    <t>REF A CLEAR MID 6MM</t>
  </si>
  <si>
    <t>ID 202</t>
  </si>
  <si>
    <t>REF A CLEAR HI 6MM</t>
  </si>
  <si>
    <t>ID 210</t>
  </si>
  <si>
    <t>REF A TINT LO 6MM</t>
  </si>
  <si>
    <t>ID 211</t>
  </si>
  <si>
    <t>REF A TINT MID 6MM</t>
  </si>
  <si>
    <t>ID 212</t>
  </si>
  <si>
    <t>REF A TINT HI 6MM</t>
  </si>
  <si>
    <t>ID 220</t>
  </si>
  <si>
    <t>REF B CLEAR LO 6MM</t>
  </si>
  <si>
    <t>ID 221</t>
  </si>
  <si>
    <t>REF B CLEAR HI 6MM</t>
  </si>
  <si>
    <t>ID 230</t>
  </si>
  <si>
    <t>REF B TINT LO 6MM</t>
  </si>
  <si>
    <t>ID 231</t>
  </si>
  <si>
    <t>REF B TINT MID 6MM</t>
  </si>
  <si>
    <t>ID 232</t>
  </si>
  <si>
    <t>REF B TINT HI 6MM</t>
  </si>
  <si>
    <t>ID 240</t>
  </si>
  <si>
    <t>REF C CLEAR LO 6MM</t>
  </si>
  <si>
    <t>ID 241</t>
  </si>
  <si>
    <t>REF C CLEAR MID 6MM</t>
  </si>
  <si>
    <t>ID 242</t>
  </si>
  <si>
    <t>REF C CLEAR HI 6MM</t>
  </si>
  <si>
    <t>ID 250</t>
  </si>
  <si>
    <t>REF C TINT LO 6MM</t>
  </si>
  <si>
    <t>ID 251</t>
  </si>
  <si>
    <t>REF C TINT MID 6MM</t>
  </si>
  <si>
    <t>ID 252</t>
  </si>
  <si>
    <t>REF C TINT HI 6MM</t>
  </si>
  <si>
    <t>ID 260</t>
  </si>
  <si>
    <t>REF D CLEAR 6MM</t>
  </si>
  <si>
    <t>ID 270</t>
  </si>
  <si>
    <t>REF D TINT 6MM</t>
  </si>
  <si>
    <t>ID 300</t>
  </si>
  <si>
    <t>PYR A CLEAR 3MM</t>
  </si>
  <si>
    <t>ID 350</t>
  </si>
  <si>
    <t>PYR B CLEAR 3MM</t>
  </si>
  <si>
    <t>ID 351</t>
  </si>
  <si>
    <t>PYR B CLEAR 6MM</t>
  </si>
  <si>
    <t>ID 400</t>
  </si>
  <si>
    <t>LoE CLEAR 3MM</t>
  </si>
  <si>
    <t>ID 400R</t>
  </si>
  <si>
    <t>LoE CLEAR 3MM Rev</t>
  </si>
  <si>
    <t>ID 401</t>
  </si>
  <si>
    <t>LoE CLEAR 6MM</t>
  </si>
  <si>
    <t>ID 401R</t>
  </si>
  <si>
    <t>LoE CLEAR 6MM Rev</t>
  </si>
  <si>
    <t>ID 451</t>
  </si>
  <si>
    <t>LoE TINT 6MM</t>
  </si>
  <si>
    <t>ID 500</t>
  </si>
  <si>
    <t>LoE SPEC SEL CLEAR 3MM</t>
  </si>
  <si>
    <t>ID 501</t>
  </si>
  <si>
    <t>LoE SPEC SEL CLEAR 6MM</t>
  </si>
  <si>
    <t>ID 501R</t>
  </si>
  <si>
    <t>LoE SPEC SEL CLEAR 6MM Rev</t>
  </si>
  <si>
    <t>ID 550</t>
  </si>
  <si>
    <t>LoE SPEC SEL TINT 6MM</t>
  </si>
  <si>
    <t>ID 600</t>
  </si>
  <si>
    <t>COATED POLY-88</t>
  </si>
  <si>
    <t>ID 601</t>
  </si>
  <si>
    <t>COATED POLY-77</t>
  </si>
  <si>
    <t>ID 602</t>
  </si>
  <si>
    <t>COATED POLY-66</t>
  </si>
  <si>
    <t>ID 603</t>
  </si>
  <si>
    <t>COATED POLY-55</t>
  </si>
  <si>
    <t>ID 604</t>
  </si>
  <si>
    <t>COATED POLY-44</t>
  </si>
  <si>
    <t>ID 605</t>
  </si>
  <si>
    <t>COATED POLY-33</t>
  </si>
  <si>
    <t>ID 700</t>
  </si>
  <si>
    <t>ECABS-1 BLEACHED 6MM</t>
  </si>
  <si>
    <t>ID 701</t>
  </si>
  <si>
    <t>ECABS-1 COLORED 6MM</t>
  </si>
  <si>
    <t>ID 702</t>
  </si>
  <si>
    <t>ECREF-1 BLEACHED 6MM</t>
  </si>
  <si>
    <t>ID 703</t>
  </si>
  <si>
    <t>ECREF-1 COLORED 6MM</t>
  </si>
  <si>
    <t>ID 704</t>
  </si>
  <si>
    <t>ECABS-2 BLEACHED 6MM</t>
  </si>
  <si>
    <t>ID 705</t>
  </si>
  <si>
    <t>ECABS-2 COLORED 6MM</t>
  </si>
  <si>
    <t>ID 706</t>
  </si>
  <si>
    <t>ECREF-2 BLEACHED 6MM</t>
  </si>
  <si>
    <t>ID 707</t>
  </si>
  <si>
    <t>ECREF-2 COLORED 6MM</t>
  </si>
  <si>
    <t>USER DEFINED SCHEDULES</t>
  </si>
  <si>
    <t>Days</t>
  </si>
  <si>
    <t>SCHEDULE</t>
  </si>
  <si>
    <t>Month</t>
  </si>
  <si>
    <t>Day</t>
  </si>
  <si>
    <t>Scheduled Parameter</t>
  </si>
  <si>
    <t>Parameter Value Type</t>
  </si>
  <si>
    <t>Avail Types</t>
  </si>
  <si>
    <t>Day Schedules</t>
  </si>
  <si>
    <t>NAME:</t>
  </si>
  <si>
    <t>TYPE A LIGHTING</t>
  </si>
  <si>
    <t>FROM:</t>
  </si>
  <si>
    <t>January</t>
  </si>
  <si>
    <t>TO:</t>
  </si>
  <si>
    <t>February</t>
  </si>
  <si>
    <t>April</t>
  </si>
  <si>
    <t>June</t>
  </si>
  <si>
    <t>December</t>
  </si>
  <si>
    <t>Other</t>
  </si>
  <si>
    <t>On/Off</t>
  </si>
  <si>
    <t>Availability</t>
  </si>
  <si>
    <t>Temperature</t>
  </si>
  <si>
    <t>SUN:</t>
  </si>
  <si>
    <t>TYPE A LGT All</t>
  </si>
  <si>
    <t>SUN</t>
  </si>
  <si>
    <t>Fan</t>
  </si>
  <si>
    <t>Fraction</t>
  </si>
  <si>
    <t>Crap</t>
  </si>
  <si>
    <t>APPLICATION:</t>
  </si>
  <si>
    <t>MON:</t>
  </si>
  <si>
    <t>MON</t>
  </si>
  <si>
    <t>Cooling</t>
  </si>
  <si>
    <t>Multiplier</t>
  </si>
  <si>
    <t>Pooo</t>
  </si>
  <si>
    <t>Setpoint</t>
  </si>
  <si>
    <t>TUE:</t>
  </si>
  <si>
    <t>TUE</t>
  </si>
  <si>
    <t>Heating</t>
  </si>
  <si>
    <t>Hum. Ratio</t>
  </si>
  <si>
    <t>Shit</t>
  </si>
  <si>
    <t>WED:</t>
  </si>
  <si>
    <t>WED</t>
  </si>
  <si>
    <t>Tstat Htng</t>
  </si>
  <si>
    <t>PARAMETER TYPE:</t>
  </si>
  <si>
    <t>THU:</t>
  </si>
  <si>
    <t>THU</t>
  </si>
  <si>
    <t>Tstat Clng</t>
  </si>
  <si>
    <t>FRI:</t>
  </si>
  <si>
    <t>FRI</t>
  </si>
  <si>
    <t>O/A Reset</t>
  </si>
  <si>
    <t>Temp-Temp Sch</t>
  </si>
  <si>
    <t>SAT:</t>
  </si>
  <si>
    <t>SAT</t>
  </si>
  <si>
    <t>Lights</t>
  </si>
  <si>
    <t>HOL:</t>
  </si>
  <si>
    <t>Equip</t>
  </si>
  <si>
    <t>KaKa</t>
  </si>
  <si>
    <t>HDD:</t>
  </si>
  <si>
    <t>ALWAYS 0% Day Sch</t>
  </si>
  <si>
    <t>HOL</t>
  </si>
  <si>
    <t>Occ</t>
  </si>
  <si>
    <t>Loaf</t>
  </si>
  <si>
    <t>CDD:</t>
  </si>
  <si>
    <t>ALWAYS 100% Day Sch</t>
  </si>
  <si>
    <t>HDD</t>
  </si>
  <si>
    <t>Kybo</t>
  </si>
  <si>
    <t>May</t>
  </si>
  <si>
    <t>July</t>
  </si>
  <si>
    <t>MNECB A LGT</t>
  </si>
  <si>
    <t>September</t>
  </si>
  <si>
    <t>MNECB A LGT All</t>
  </si>
  <si>
    <t>ALWAYS 100%</t>
  </si>
  <si>
    <t>ALWAYS 0%</t>
  </si>
  <si>
    <t>DaySch.Name</t>
  </si>
  <si>
    <t>DaySch.App</t>
  </si>
  <si>
    <t>DaySch.TypeLimits</t>
  </si>
  <si>
    <t>DaySch.Hr1</t>
  </si>
  <si>
    <t>DaySch.Hr2</t>
  </si>
  <si>
    <t>DaySch.Hr3</t>
  </si>
  <si>
    <t>DaySch.Hr4</t>
  </si>
  <si>
    <t>DaySch.Hr5</t>
  </si>
  <si>
    <t>DaySch.Hr6</t>
  </si>
  <si>
    <t>DaySch.Hr7</t>
  </si>
  <si>
    <t>DaySch.Hr8</t>
  </si>
  <si>
    <t>DaySch.Hr9</t>
  </si>
  <si>
    <t>DaySch.Hr10</t>
  </si>
  <si>
    <t>DaySch.Hr11</t>
  </si>
  <si>
    <t>DaySch.Hr12</t>
  </si>
  <si>
    <t>DaySch.Hr13</t>
  </si>
  <si>
    <t>DaySch.Hr14</t>
  </si>
  <si>
    <t>DaySch.Hr15</t>
  </si>
  <si>
    <t>DaySch.Hr16</t>
  </si>
  <si>
    <t>DaySch.Hr17</t>
  </si>
  <si>
    <t>DaySch.Hr18</t>
  </si>
  <si>
    <t>DaySch.Hr19</t>
  </si>
  <si>
    <t>DaySch.Hr20</t>
  </si>
  <si>
    <t>DaySch.Hr21</t>
  </si>
  <si>
    <t>DaySch.Hr22</t>
  </si>
  <si>
    <t>DaySch.Hr23</t>
  </si>
  <si>
    <t>DaySch.Hr24</t>
  </si>
  <si>
    <t>SCHEDULES</t>
  </si>
  <si>
    <t>DAY SCHEDULE NAME</t>
  </si>
  <si>
    <t>Application</t>
  </si>
  <si>
    <t>Parameter Type</t>
  </si>
  <si>
    <t>Hour</t>
  </si>
  <si>
    <t>ALWAYS ON Day Sch</t>
  </si>
  <si>
    <t>ON</t>
  </si>
  <si>
    <t>ALWAYS OFF Day Sch</t>
  </si>
  <si>
    <t>OFF</t>
  </si>
  <si>
    <t>TYPE A EQP All</t>
  </si>
  <si>
    <t>TYPE A OCC All</t>
  </si>
  <si>
    <t>Hum Ratio</t>
  </si>
  <si>
    <t>TYPE A FANS All</t>
  </si>
  <si>
    <t>Metabolic</t>
  </si>
  <si>
    <t>TYPE A CLNG NOT AVAIL</t>
  </si>
  <si>
    <t>TYPE A CLNG AVAIL</t>
  </si>
  <si>
    <t>HTNG NOT AVAILABLE</t>
  </si>
  <si>
    <t>HTNG AVAIL SHOULDER SEASON</t>
  </si>
  <si>
    <t>HTNG AVAILABLE</t>
  </si>
  <si>
    <t>TYPE A CLNG TSTAT</t>
  </si>
  <si>
    <t>TYPE A HTNG TSTAT</t>
  </si>
  <si>
    <t>--------------------</t>
  </si>
  <si>
    <t>DAY_SCHED</t>
  </si>
  <si>
    <t>Sch Day Ending</t>
  </si>
  <si>
    <t>March</t>
  </si>
  <si>
    <t>August</t>
  </si>
  <si>
    <t>CDD</t>
  </si>
  <si>
    <t>CUS1</t>
  </si>
  <si>
    <t>October</t>
  </si>
  <si>
    <t>CUS2</t>
  </si>
  <si>
    <t>November</t>
  </si>
  <si>
    <t>TEMPLATE CONSTRUCTIONS</t>
  </si>
  <si>
    <r>
      <t>R</t>
    </r>
    <r>
      <rPr>
        <b/>
        <vertAlign val="subscript"/>
        <sz val="10"/>
        <rFont val="Arial Narrow"/>
        <family val="2"/>
      </rPr>
      <t>W</t>
    </r>
  </si>
  <si>
    <r>
      <t>W/m</t>
    </r>
    <r>
      <rPr>
        <b/>
        <vertAlign val="superscript"/>
        <sz val="9"/>
        <rFont val="Arial Narrow"/>
        <family val="2"/>
      </rPr>
      <t>2</t>
    </r>
    <r>
      <rPr>
        <b/>
        <sz val="9"/>
        <rFont val="Arial Narrow"/>
        <family val="2"/>
      </rPr>
      <t>∙</t>
    </r>
    <r>
      <rPr>
        <sz val="9"/>
        <rFont val="Arial Narrow"/>
        <family val="2"/>
      </rPr>
      <t>K</t>
    </r>
  </si>
  <si>
    <r>
      <t>m</t>
    </r>
    <r>
      <rPr>
        <b/>
        <vertAlign val="superscript"/>
        <sz val="9"/>
        <rFont val="Arial Narrow"/>
        <family val="2"/>
      </rPr>
      <t>2</t>
    </r>
    <r>
      <rPr>
        <b/>
        <sz val="9"/>
        <rFont val="Arial Narrow"/>
        <family val="2"/>
      </rPr>
      <t>∙</t>
    </r>
    <r>
      <rPr>
        <sz val="9"/>
        <rFont val="Arial Narrow"/>
        <family val="2"/>
      </rPr>
      <t>K/W</t>
    </r>
  </si>
  <si>
    <r>
      <t>Btu/hr∙ft</t>
    </r>
    <r>
      <rPr>
        <b/>
        <vertAlign val="superscript"/>
        <sz val="9"/>
        <rFont val="Arial Narrow"/>
        <family val="2"/>
      </rPr>
      <t>2</t>
    </r>
    <r>
      <rPr>
        <sz val="9"/>
        <rFont val="Arial Narrow"/>
        <family val="2"/>
      </rPr>
      <t>∙F</t>
    </r>
  </si>
  <si>
    <r>
      <t>ft</t>
    </r>
    <r>
      <rPr>
        <vertAlign val="superscript"/>
        <sz val="9"/>
        <rFont val="Arial Narrow"/>
        <family val="2"/>
      </rPr>
      <t>2</t>
    </r>
    <r>
      <rPr>
        <sz val="9"/>
        <rFont val="Arial Narrow"/>
        <family val="2"/>
      </rPr>
      <t>∙hr∙F/Btu</t>
    </r>
  </si>
  <si>
    <t>Composite 2x4 Wood Stud R11</t>
  </si>
  <si>
    <t>C01a</t>
  </si>
  <si>
    <t>Composite 2x4 Wood Stud R11 #3</t>
  </si>
  <si>
    <t>C01b</t>
  </si>
  <si>
    <t>Composite 2x4 Wood Stud R11 #2</t>
  </si>
  <si>
    <t>C01c</t>
  </si>
  <si>
    <t>Composite 2x4 Wood Stud R11 #1</t>
  </si>
  <si>
    <t>Composite 2x6 Wood Stud R19</t>
  </si>
  <si>
    <t>C02a</t>
  </si>
  <si>
    <t>Composite 2x6 Wood Stud R19 #3</t>
  </si>
  <si>
    <t>C02b</t>
  </si>
  <si>
    <t>Composite 2x6 Wood Stud R19 #2</t>
  </si>
  <si>
    <t>C02c</t>
  </si>
  <si>
    <t>Composite 2x6 Wood Stud R19 #1</t>
  </si>
  <si>
    <t>Composite Insulated Concrete Form Wall With Steel Ties</t>
  </si>
  <si>
    <t>C03a</t>
  </si>
  <si>
    <t>Composite Insulated Concrete Form Wall With Steel Ties #3</t>
  </si>
  <si>
    <t>C03b</t>
  </si>
  <si>
    <t>Composite Insulated Concrete Form Wall With Steel Ties #2</t>
  </si>
  <si>
    <t>C03c</t>
  </si>
  <si>
    <t>Composite Insulated Concrete Form Wall With Steel Ties #1</t>
  </si>
  <si>
    <t>Composite Concrete/Foam/Concrete With Steel Connectors</t>
  </si>
  <si>
    <t>C04a</t>
  </si>
  <si>
    <t>Composite Concrete/Foam/Concrete With Steel Connectors #3</t>
  </si>
  <si>
    <t>C04b</t>
  </si>
  <si>
    <t>Composite Concrete/Foam/Concrete With Steel Connectors #2</t>
  </si>
  <si>
    <t>C04c</t>
  </si>
  <si>
    <t>Composite Concrete/Foam/Concrete With Steel Connectors #1</t>
  </si>
  <si>
    <t>Composite Concrete/Foam/Concrete With Plastic Connectors</t>
  </si>
  <si>
    <t>C05a</t>
  </si>
  <si>
    <t>Composite Concrete/Foam/Concrete With Plastic Connectors #3</t>
  </si>
  <si>
    <t>C05b</t>
  </si>
  <si>
    <t>Composite Concrete/Foam/Concrete With Plastic Connectors #2</t>
  </si>
  <si>
    <t>C05c</t>
  </si>
  <si>
    <t>Composite Concrete/Foam/Concrete With Plastic Connectors #1</t>
  </si>
  <si>
    <t>Composite 2x4 Steel Stud R11</t>
  </si>
  <si>
    <t>C06a</t>
  </si>
  <si>
    <t>Composite 2x4 Steel Stud R11 #3</t>
  </si>
  <si>
    <t>C06b</t>
  </si>
  <si>
    <t>Composite 2x4 Steel Stud R11 #2</t>
  </si>
  <si>
    <t>C06c</t>
  </si>
  <si>
    <t>Composite 2x4 Steel Stud R11 #1</t>
  </si>
  <si>
    <t>Composite Brick Foam 2x4 Steel Stud R11</t>
  </si>
  <si>
    <t>C07a</t>
  </si>
  <si>
    <t>Composite Brick Foam 2x4 Steel Stud R11 #3</t>
  </si>
  <si>
    <t>C07b</t>
  </si>
  <si>
    <t>Composite Brick Foam 2x4 Steel Stud R11 #2</t>
  </si>
  <si>
    <t>C07c</t>
  </si>
  <si>
    <t>Composite Brick Foam 2x4 Steel Stud R11 #1</t>
  </si>
  <si>
    <t>Composite 2x6 Steel Stud R19</t>
  </si>
  <si>
    <t>C08a</t>
  </si>
  <si>
    <t>Composite 2x6 Steel Stud R19 #3</t>
  </si>
  <si>
    <t>C08b</t>
  </si>
  <si>
    <t>Composite 2x6 Steel Stud R19 #2</t>
  </si>
  <si>
    <t>C08c</t>
  </si>
  <si>
    <t>Composite 2x6 Steel Stud R19 #1</t>
  </si>
  <si>
    <t>Composite Foam 2x6 Steel Stud R19</t>
  </si>
  <si>
    <t>C09a</t>
  </si>
  <si>
    <t>Composite Foam 2x6 Steel Stud R19 #3</t>
  </si>
  <si>
    <t>C09b</t>
  </si>
  <si>
    <t>Composite Foam 2x6 Steel Stud R19 #2</t>
  </si>
  <si>
    <t>C09c</t>
  </si>
  <si>
    <t>Composite Brick Foam 2x6 Steel Stud R19</t>
  </si>
  <si>
    <t>C10a</t>
  </si>
  <si>
    <t>C10b</t>
  </si>
  <si>
    <t>C10c</t>
  </si>
  <si>
    <t>Composite Foam 2x6 Steel Stud R19 #1</t>
  </si>
  <si>
    <t>Composite 2-Core Filled Concrete Block Uninsulated</t>
  </si>
  <si>
    <t>C11a</t>
  </si>
  <si>
    <t>Composite 2-Core Filled Concrete Block Uninsulated #3</t>
  </si>
  <si>
    <t>C11b</t>
  </si>
  <si>
    <t>Composite 2-Core Filled Concrete Block Uninsulated #2</t>
  </si>
  <si>
    <t>C11c</t>
  </si>
  <si>
    <t>Composite 2-Core Filled Concrete Block Uninsulated #1</t>
  </si>
  <si>
    <t>Light Exterior Wall</t>
  </si>
  <si>
    <t>F08</t>
  </si>
  <si>
    <t>Metal surface</t>
  </si>
  <si>
    <t>I02</t>
  </si>
  <si>
    <t>50mm insulation board</t>
  </si>
  <si>
    <t>F04</t>
  </si>
  <si>
    <t>Wall air space resistance</t>
  </si>
  <si>
    <t>G01a</t>
  </si>
  <si>
    <t>19mm gypsum board</t>
  </si>
  <si>
    <t>Light Roof/Ceiling</t>
  </si>
  <si>
    <t>M11</t>
  </si>
  <si>
    <t>100mm lightweight concrete</t>
  </si>
  <si>
    <t>F05</t>
  </si>
  <si>
    <t>Ceiling air space resistance</t>
  </si>
  <si>
    <t>F16</t>
  </si>
  <si>
    <t>Acoustic tile</t>
  </si>
  <si>
    <t>Light Partitions</t>
  </si>
  <si>
    <t>Light Floor</t>
  </si>
  <si>
    <t>Light Furnishings</t>
  </si>
  <si>
    <t>G05</t>
  </si>
  <si>
    <t>25mm wood</t>
  </si>
  <si>
    <t>Medium Exterior Wall</t>
  </si>
  <si>
    <t>M01</t>
  </si>
  <si>
    <t>100mm brick</t>
  </si>
  <si>
    <t>Medium Roof/Ceiling</t>
  </si>
  <si>
    <t>M14a</t>
  </si>
  <si>
    <t>100mm heavyweight concrete</t>
  </si>
  <si>
    <t>Medium Partitions</t>
  </si>
  <si>
    <t>Medium Floor</t>
  </si>
  <si>
    <t>Medium Furnishings</t>
  </si>
  <si>
    <t>Heavy Exterior Wall</t>
  </si>
  <si>
    <t>M15</t>
  </si>
  <si>
    <t>200mm heavyweight concrete</t>
  </si>
  <si>
    <t>Heavy Roof/Ceiling</t>
  </si>
  <si>
    <t>Heavy Partitions</t>
  </si>
  <si>
    <t>M05</t>
  </si>
  <si>
    <t>200mm concrete block</t>
  </si>
  <si>
    <t>Heavy Floor</t>
  </si>
  <si>
    <t>Heavy Furnishings</t>
  </si>
  <si>
    <t>TEMPLATE MATERIALS</t>
  </si>
  <si>
    <t>Nominal RSI</t>
  </si>
  <si>
    <t>Thickness</t>
  </si>
  <si>
    <t>Conductivity</t>
  </si>
  <si>
    <t>Thermal Absorptance</t>
  </si>
  <si>
    <t>Solar Absorptance</t>
  </si>
  <si>
    <t>Visible Absorptance</t>
  </si>
  <si>
    <r>
      <t>(K∙m</t>
    </r>
    <r>
      <rPr>
        <b/>
        <vertAlign val="superscript"/>
        <sz val="12"/>
        <rFont val="Arial Narrow"/>
        <family val="2"/>
      </rPr>
      <t>2</t>
    </r>
    <r>
      <rPr>
        <b/>
        <sz val="9"/>
        <rFont val="Arial Narrow"/>
        <family val="2"/>
      </rPr>
      <t>/W)</t>
    </r>
  </si>
  <si>
    <r>
      <t>(kg/m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</si>
  <si>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(J/kg∙K)</t>
  </si>
  <si>
    <r>
      <t>α</t>
    </r>
    <r>
      <rPr>
        <b/>
        <vertAlign val="subscript"/>
        <sz val="12"/>
        <rFont val="Arial"/>
        <family val="2"/>
      </rPr>
      <t>L</t>
    </r>
  </si>
  <si>
    <r>
      <t>α</t>
    </r>
    <r>
      <rPr>
        <b/>
        <vertAlign val="subscript"/>
        <sz val="12"/>
        <rFont val="Arial"/>
        <family val="2"/>
      </rPr>
      <t>S</t>
    </r>
  </si>
  <si>
    <r>
      <t>α</t>
    </r>
    <r>
      <rPr>
        <b/>
        <vertAlign val="subscript"/>
        <sz val="12"/>
        <rFont val="Arial"/>
        <family val="2"/>
      </rPr>
      <t>V</t>
    </r>
  </si>
  <si>
    <t>Air</t>
  </si>
  <si>
    <t>F06</t>
  </si>
  <si>
    <t>EIFS finish</t>
  </si>
  <si>
    <t>Smooth</t>
  </si>
  <si>
    <t>F07</t>
  </si>
  <si>
    <t>25mm stucco</t>
  </si>
  <si>
    <t>F09</t>
  </si>
  <si>
    <t>Opaque spandrel glass</t>
  </si>
  <si>
    <t>F10</t>
  </si>
  <si>
    <t>25mm stone</t>
  </si>
  <si>
    <t>MediumRough</t>
  </si>
  <si>
    <t>F11</t>
  </si>
  <si>
    <t>Wood siding</t>
  </si>
  <si>
    <t>MediumSmooth</t>
  </si>
  <si>
    <t>F12</t>
  </si>
  <si>
    <t>Asphalt shingles</t>
  </si>
  <si>
    <t>VeryRough</t>
  </si>
  <si>
    <t>F13</t>
  </si>
  <si>
    <t>Built-up roofing</t>
  </si>
  <si>
    <t>Rough</t>
  </si>
  <si>
    <t>F14</t>
  </si>
  <si>
    <t>Slate or tile</t>
  </si>
  <si>
    <t>F15</t>
  </si>
  <si>
    <t>Wood shingles</t>
  </si>
  <si>
    <t>F17</t>
  </si>
  <si>
    <t>Carpet</t>
  </si>
  <si>
    <t>F18</t>
  </si>
  <si>
    <t>Terrazzo</t>
  </si>
  <si>
    <t>G01</t>
  </si>
  <si>
    <t>G02</t>
  </si>
  <si>
    <t>16mm plywood</t>
  </si>
  <si>
    <t>G03</t>
  </si>
  <si>
    <t>13mm fiberboard sheathing</t>
  </si>
  <si>
    <t>G04</t>
  </si>
  <si>
    <t>13mm wood</t>
  </si>
  <si>
    <t>G06</t>
  </si>
  <si>
    <t>50mm wood</t>
  </si>
  <si>
    <t>G07</t>
  </si>
  <si>
    <t>100mm wood</t>
  </si>
  <si>
    <t>I01</t>
  </si>
  <si>
    <t>25mm insulation board</t>
  </si>
  <si>
    <t>I03</t>
  </si>
  <si>
    <t>75mm insulation board</t>
  </si>
  <si>
    <t>I04</t>
  </si>
  <si>
    <t>89mm batt insulation</t>
  </si>
  <si>
    <t>I06</t>
  </si>
  <si>
    <t>244mm batt insulation</t>
  </si>
  <si>
    <t>M02</t>
  </si>
  <si>
    <t>150mm lightweight concrete block</t>
  </si>
  <si>
    <t>M03</t>
  </si>
  <si>
    <t>200mm lightweight concrete block</t>
  </si>
  <si>
    <t>M04</t>
  </si>
  <si>
    <t>300mm lightweight concrete block</t>
  </si>
  <si>
    <t>M06</t>
  </si>
  <si>
    <t>300mm concrete block</t>
  </si>
  <si>
    <t>M07</t>
  </si>
  <si>
    <t>150mm lightweight concrete block (filled)</t>
  </si>
  <si>
    <t>M08</t>
  </si>
  <si>
    <t>200mm lightweight concrete block (filled)</t>
  </si>
  <si>
    <t>M09</t>
  </si>
  <si>
    <t>300mm lightweight concrete block (filled)</t>
  </si>
  <si>
    <t>M10</t>
  </si>
  <si>
    <t>200mm concrete block (filled)</t>
  </si>
  <si>
    <t>M12</t>
  </si>
  <si>
    <t>150mm lightweight concrete</t>
  </si>
  <si>
    <t>M13</t>
  </si>
  <si>
    <t>200mm lightweight concrete</t>
  </si>
  <si>
    <t>M14</t>
  </si>
  <si>
    <t>150mm heavyweight concrete</t>
  </si>
  <si>
    <t>M16</t>
  </si>
  <si>
    <t>300mm heavyweight concrete</t>
  </si>
  <si>
    <t>M17</t>
  </si>
  <si>
    <t>50mm lightweight concrete roof ballast</t>
  </si>
  <si>
    <t>Asbestos-cement board – 3.2mm</t>
  </si>
  <si>
    <t>Asbestos-cement board - 6.4mm</t>
  </si>
  <si>
    <t>Gypsum or plaster board - 9.5mm</t>
  </si>
  <si>
    <t>Gypsum or plaster board - 2.7mm</t>
  </si>
  <si>
    <t>Gypsum or plaster board - 5.9mm</t>
  </si>
  <si>
    <t>Plywood (Douglas Fir) - 6.4mm</t>
  </si>
  <si>
    <t>Plywood (Douglas Fir) - 9.5mm</t>
  </si>
  <si>
    <t>Plywood (Douglas Fir) - 12.7mm</t>
  </si>
  <si>
    <t>Plywood (Douglas Fir) - 15.9mm</t>
  </si>
  <si>
    <t>Plywood or wood panels - 19.0mm</t>
  </si>
  <si>
    <t>Sheathing - regular density - 12.7mm</t>
  </si>
  <si>
    <t>Sheathing - regular density - 19.8mm</t>
  </si>
  <si>
    <t>Sheathing intermediate density - 12.7mm</t>
  </si>
  <si>
    <t>Nail-base sheathing - 12.7mm</t>
  </si>
  <si>
    <t>Shingle backer - 9.5mm</t>
  </si>
  <si>
    <t>Shingle backer - 7.9mm</t>
  </si>
  <si>
    <t>Sound deadening board</t>
  </si>
  <si>
    <t>Tile and lay-in panels - plain or acoustic - 12.7mm</t>
  </si>
  <si>
    <t>Tile and lay-in panels - plain or acoustic - 19mm</t>
  </si>
  <si>
    <t>Laminated paperboard</t>
  </si>
  <si>
    <t>Homogeneous board from repulped paper</t>
  </si>
  <si>
    <t>Hardboard Medium density</t>
  </si>
  <si>
    <t>Hardboard High density - service-tempered grade and service grade</t>
  </si>
  <si>
    <t>Hardboard High density - standard-tempered grade</t>
  </si>
  <si>
    <t>Particleboard Low density</t>
  </si>
  <si>
    <t>Particleboard Medium density</t>
  </si>
  <si>
    <t>Particleboard High density</t>
  </si>
  <si>
    <t>Particleboard Underlayment - 15.9mm</t>
  </si>
  <si>
    <t>Waferboard</t>
  </si>
  <si>
    <t>Insulation: Cellular glass - 25mm</t>
  </si>
  <si>
    <t>Insulation: Cellular glass - 50mm</t>
  </si>
  <si>
    <t>Insulation: Cellular glass - 75mm</t>
  </si>
  <si>
    <t>Insulation: Glass fiber - organic bonded - 25mm</t>
  </si>
  <si>
    <t>Insulation: Glass fiber - organic bonded - 50mm</t>
  </si>
  <si>
    <t>Insulation: Glass fiber - organic bonded - 75mm</t>
  </si>
  <si>
    <t>Insulation: Expanded perlite - organic bonded - 25mm</t>
  </si>
  <si>
    <t>Insulation: Expanded rubber (rigid) - 25mm</t>
  </si>
  <si>
    <t>Insulation: Expanded polystyrene - extruded (smooth skin surface) (CFC-12 exp.)</t>
  </si>
  <si>
    <t>Insulation: Expanded polystyrene - extruded (smooth skin surface) (HCFC-142b exp.)</t>
  </si>
  <si>
    <t>Insulation: Expanded polystyrene - molded beads - 16kg/m3 density</t>
  </si>
  <si>
    <t>Insulation: Expanded polystyrene - molded beads - 20kg/m3 density</t>
  </si>
  <si>
    <t>Insulation: Expanded polystyrene - molded beads - 24kg/m3 density</t>
  </si>
  <si>
    <t>Insulation: Expanded polystyrene - molded beads - 28 k6/m3 density</t>
  </si>
  <si>
    <t>Insulation: Expanded polystyrene - molded beads - 32 kg/m3 density</t>
  </si>
  <si>
    <t>Insulation: Cellular polyurethane/polyisocyanuratei (CFC11 exp.) (unfaced)</t>
  </si>
  <si>
    <t>Insulation: Cellular polyisocyanuratei (CFC-11 exp.) (gaspermeable facers)</t>
  </si>
  <si>
    <t>Insulation: Cellular polyisocyanuratej (CFC-11 exp.) (gasimpermeable facers)</t>
  </si>
  <si>
    <t>Brick - fired clay - 2400 kg/m3 - 102mm</t>
  </si>
  <si>
    <t>Brick - fired clay - 2240 kg/m3 - 102mm</t>
  </si>
  <si>
    <t>Brick - fired clay - 2080 kg/m3 - 102mm</t>
  </si>
  <si>
    <t>Brick - fired clay - 1920 kg/m3 - 102mm</t>
  </si>
  <si>
    <t>Brick - fired clay - 1760 kg/m3 - 102mm</t>
  </si>
  <si>
    <t>Brick - fired clay - 1600 kg/m3 - 102mm</t>
  </si>
  <si>
    <t>Brick - fired clay - 1440 kg/m3 - 102mm</t>
  </si>
  <si>
    <t>Brick - fired clay - 1280 kg/m3 - 102mm</t>
  </si>
  <si>
    <t>Brick - fired clay - 1120 kg/m3 - 102mm</t>
  </si>
  <si>
    <t>Quartzitic and sandstone - 2880 kg/m3 - 13mm</t>
  </si>
  <si>
    <t>Quartzitic and sandstone - 2560 kg/m3 - 13mm</t>
  </si>
  <si>
    <t>Quartzitic and sandstone - 1920 kg/m3 - 13mm</t>
  </si>
  <si>
    <t>Calcitic - dolomitic - limestone - marble - and granite - 2880 kg/m3 - 13mm</t>
  </si>
  <si>
    <t>Calcitic - dolomitic - limestone - marble - and granite - 2560 kg/m3 - 13mm</t>
  </si>
  <si>
    <t>Calcitic - dolomitic - limestone - marble - and granite - 2240 kg/m3 - 13mm</t>
  </si>
  <si>
    <t>Calcitic - dolomitic - limestone - marble - and granite - 1920 kg/m3 - 13mm</t>
  </si>
  <si>
    <t>Calcitic - dolomitic - limestone - marble - and granite - 1600 kg/m3 - 13mm</t>
  </si>
  <si>
    <t>Concrete: Sand and gravel or stone aggregate concretes - 2400 kg/m3 - 51mm</t>
  </si>
  <si>
    <t>Concrete: Sand and gravel or stone aggregate concretes - 2240 kg/m3 - 51mm</t>
  </si>
  <si>
    <t>Concrete: Sand and gravel or stone aggregate concretes - 2080 kg/m3 - 51mm</t>
  </si>
  <si>
    <t>Concrete: Limestone concretes - 2240 kg/m3 - 51mm</t>
  </si>
  <si>
    <t>Concrete: Limestone concretes - 1920 kg/m3 - 51mm</t>
  </si>
  <si>
    <t>Concrete: Limestone concretes - 1600 kg/m3 - 51mm</t>
  </si>
  <si>
    <t>Concrete: Gypsum-fiber concrete (87.5% gypsum - 12.5% wood chips) - 51mm</t>
  </si>
  <si>
    <t>Concrete: Cement/lime - mortar - and stucco - 1920 kg/m3 - 51mm</t>
  </si>
  <si>
    <t>Concrete: Cement/lime - mortar - and stucco - 1600 kg/m3 - 51mm</t>
  </si>
  <si>
    <t>Concrete: Cement/lime - mortar - and stucco - 1280 kg/m3 - 51mm</t>
  </si>
  <si>
    <t>Concrete: Expanded shale - clay - slate - expanded slags - cinders - pumice - 1920 kg/m3 - 51mm</t>
  </si>
  <si>
    <t>Concrete: Expanded shale - clay - slate - expanded slags - cinders - pumice - 1600 kg/m3 - 51mm</t>
  </si>
  <si>
    <t>Concrete: Expanded shale - clay - slate - expanded slags - cinders - pumice - 1280 kg/m3 - 51mm</t>
  </si>
  <si>
    <t>Concrete: Expanded shale - clay - slate - expanded slags - cinders - pumice - 960 kg/m3 - 51mm</t>
  </si>
  <si>
    <t>Concrete: Expanded shale - clay - slate - expanded slags - cinders - pumice - 640 kg/m3 - 51mm</t>
  </si>
  <si>
    <t>Concrete: Perlite - vermiculite - and polystyrene beads - 800 kg/m3 - 51mm</t>
  </si>
  <si>
    <t>Concrete: Perlite - vermiculite - and polystyrene beads - 640 kg/m3 - 51mm</t>
  </si>
  <si>
    <t>Concrete: Perlite - vermiculite - and polystyrene beads - 480 kg/m3 - 51mm</t>
  </si>
  <si>
    <t>Concrete: Perlite - vermiculite - and polystyrene beads - 320 kg/m3 - 51mm</t>
  </si>
  <si>
    <t>Concrete: Foam concretes - 1920 kg/m3 - 51mm</t>
  </si>
  <si>
    <t>Concrete: Foam concretes - 1600 kg/m3 - 51mm</t>
  </si>
  <si>
    <t>Concrete: Foam concretes - 1280 kg/m3 - 51mm</t>
  </si>
  <si>
    <t>Concrete: Foam concretes - 1120 kg/m3 - 51mm</t>
  </si>
  <si>
    <t>Concrete: Foam concretes and cellular concretes - 640 kg/m3 - 51mm</t>
  </si>
  <si>
    <t>Concrete: Foam concretes and cellular concretes - 320 kg/m3 - 51mm</t>
  </si>
  <si>
    <t>Concrete: Sand and gravel or stone aggregate concretes - 2400 kg/m3 - 102mm</t>
  </si>
  <si>
    <t>Concrete: Sand and gravel or stone aggregate concretes - 2240 kg/m3 - 102mm</t>
  </si>
  <si>
    <t>Concrete: Sand and gravel or stone aggregate concretes - 2080 kg/m3 - 102mm</t>
  </si>
  <si>
    <t>Concrete: Limestone concretes - 2240 kg/m3 - 102mm</t>
  </si>
  <si>
    <t>Concrete: Limestone concretes - 1920 kg/m3 - 102mm</t>
  </si>
  <si>
    <t>Concrete: Limestone concretes - 1600 kg/m3 - 102mm</t>
  </si>
  <si>
    <t>Concrete: Gypsum-fiber concrete (87.5% gypsum - 12.5% wood chips) - 102mm</t>
  </si>
  <si>
    <t>Concrete: Cement/lime - mortar - and stucco - 1920 kg/m3 - 102mm</t>
  </si>
  <si>
    <t>Concrete: Cement/lime - mortar - and stucco - 1600 kg/m3 - 102mm</t>
  </si>
  <si>
    <t>Concrete: Cement/lime - mortar - and stucco - 1280 kg/m3 - 102mm</t>
  </si>
  <si>
    <t>Concrete: Expanded shale - clay - slate - expanded slags - cinders - pumice - 1920 kg/m3 - 102mm</t>
  </si>
  <si>
    <t>Concrete: Expanded shale - clay - slate - expanded slags - cinders - pumice - 1600 kg/m3 - 102mm</t>
  </si>
  <si>
    <t>Concrete: Expanded shale - clay - slate - expanded slags - cinders - pumice - 1280 kg/m3 - 102mm</t>
  </si>
  <si>
    <t>Concrete: Expanded shale - clay - slate - expanded slags - cinders - pumice - 960 kg/m3 - 102mm</t>
  </si>
  <si>
    <t>Concrete: Expanded shale - clay - slate - expanded slags - cinders - pumice - 640 kg/m3 - 102mm</t>
  </si>
  <si>
    <t>Concrete: Perlite - vermiculite - and polystyrene beads - 800 kg/m3 - 102mm</t>
  </si>
  <si>
    <t>Concrete: Perlite - vermiculite - and polystyrene beads - 640 kg/m3 - 102mm</t>
  </si>
  <si>
    <t>Concrete: Perlite - vermiculite - and polystyrene beads - 480 kg/m3 - 102mm</t>
  </si>
  <si>
    <t>Concrete: Perlite - vermiculite - and polystyrene beads - 320 kg/m3 - 102mm</t>
  </si>
  <si>
    <t>Concrete: Foam concretes - 1920 kg/m3 - 102mm</t>
  </si>
  <si>
    <t>Concrete: Foam concretes - 1600 kg/m3 - 102mm</t>
  </si>
  <si>
    <t>Concrete: Foam concretes - 1280 kg/m3 - 102mm</t>
  </si>
  <si>
    <t>Concrete: Foam concretes - 1120 kg/m3 - 102mm</t>
  </si>
  <si>
    <t>Concrete: Foam concretes and cellular concretes - 960 kg/m3 - 102mm</t>
  </si>
  <si>
    <t>Concrete: Foam concretes and cellular concretes - 640 kg/m3 - 102mm</t>
  </si>
  <si>
    <t>Concrete: Foam concretes and cellular concretes - 320 kg/m3 - 102mm</t>
  </si>
  <si>
    <t>Hardwood - 12.9mm</t>
  </si>
  <si>
    <t>Hardwood - 25mm</t>
  </si>
  <si>
    <t>Oak - 25mm</t>
  </si>
  <si>
    <t>Birch - 25mm</t>
  </si>
  <si>
    <t>Maple - 25mm</t>
  </si>
  <si>
    <t>Ash - 25mm</t>
  </si>
  <si>
    <t>Softwood - 12.9mm</t>
  </si>
  <si>
    <t>Softwood - 19mm</t>
  </si>
  <si>
    <t>Softwood - 25mm</t>
  </si>
  <si>
    <t>Southern Pine - 25mm</t>
  </si>
  <si>
    <t>Douglas Fir-Larch - 25mm</t>
  </si>
  <si>
    <t>Southern Cypress - 25mm</t>
  </si>
  <si>
    <t>Hem-Fir - Spruce-Pine-Fir - 25mm</t>
  </si>
  <si>
    <t>West Coast Woods - Cedars - 25mm</t>
  </si>
  <si>
    <t>California Redwood - 25mm</t>
  </si>
  <si>
    <t>Concrete Block: Limestone Aggregrate: 200mm - 16.3 kg - 2 cores</t>
  </si>
  <si>
    <t>Concrete Block: Limestone Aggregrate: 200mm - 16.3 kg - 2 cores - perlite filled cores</t>
  </si>
  <si>
    <t>Concrete Block: Limestone Aggregrate: 300mm - 25 kg - 2 cores</t>
  </si>
  <si>
    <t>Concrete Block: Limestone Aggregrate: 300mm - 25 kg - 2 cores - perlite filled cores</t>
  </si>
  <si>
    <t>Concrete Block: Sand and Gravel Aggregrate: 15-16 kg - 2 or 3 cores</t>
  </si>
  <si>
    <t>Concrete Block: Sand and Gravel Aggregrate: 15-16 kg - 2 or 3 cores - perlite filled cores</t>
  </si>
  <si>
    <t>Concrete Block: Sand and Gravel Aggregrate: 15-16 kg - 2 or 3 cores - vermiculite filled cores</t>
  </si>
  <si>
    <t>Concrete Block: Sand and Gravel Aggregrate: 22.7 kg - 2 cores</t>
  </si>
  <si>
    <t>Concrete Block: Medium Mass Aggregate: 2 or 3 cores</t>
  </si>
  <si>
    <t>Concrete Block: Medium Mass Aggregate: 2 or 3 cores - perlite filled cores</t>
  </si>
  <si>
    <t>Concrete Block: Medium Mass Aggregate: 2 or 3 cores - vermiculite filled cores</t>
  </si>
  <si>
    <t>Concrete Block: Medium Mass Aggregate: 2 or 3 cores - molded EPS (beads) filled cores</t>
  </si>
  <si>
    <t>Concrete Block: Medium Mass Aggregate: 2 or 3 cores - molded EPS inserts in cores</t>
  </si>
  <si>
    <t>Concrete Block: Low Mass Aggregate: 7.3-7.7 kg - 2 or 3 cores</t>
  </si>
  <si>
    <t>Concrete Block: Low Mass Aggregate: 7.3-7.7 kg - 2 or 3 cores - perlite filled cores</t>
  </si>
  <si>
    <t>Concrete Block: Low Mass Aggregate: 8.6-10.0 kg</t>
  </si>
  <si>
    <t>Concrete Block: Low Mass Aggregate: 8.6-10.0 kg - perlite filled cores</t>
  </si>
  <si>
    <t>Concrete Block: Low Mass Aggregate: 8.6-10.0 kg - vermiculite filled cores</t>
  </si>
  <si>
    <t>Concrete Block: Low Mass Aggregate: 8.6-10.0 kg - molded EPS (beads) filled cores</t>
  </si>
  <si>
    <t>Concrete Block: Low Mass Aggregate: 8.6-10.0 kg - UF foam filled cores</t>
  </si>
  <si>
    <t>Concrete Block: Low Mass Aggregate: 8.6-10.0 kg - molded EPS inserts in cores</t>
  </si>
  <si>
    <t>Concrete Block: Low Mass Aggregate: 14.5-16.3 kg - 2 or 3 cores</t>
  </si>
  <si>
    <t>Concrete Block: Low Mass Aggregate: 14.5-16.3 kg - 2 or 3 cores - perlite filled cores</t>
  </si>
  <si>
    <t>Concrete Block: Low Mass Aggregate: 14.5-16.3 kg - 2 or 3 cores - vermiculite filled cores</t>
  </si>
  <si>
    <t>880</t>
  </si>
  <si>
    <t>Composite 2-Core Filled Concrete Block Insulated #1</t>
  </si>
  <si>
    <t>Composite 2-Core Filled Concrete Block Insulated #2</t>
  </si>
  <si>
    <t>Composite 2-Core Filled Concrete Block Insulated #3</t>
  </si>
  <si>
    <t>NM01</t>
  </si>
  <si>
    <t>Vaporpermeable felt</t>
  </si>
  <si>
    <t>NoMass</t>
  </si>
  <si>
    <t>Vaporseal - 2 layers of mopped 0.73 kg/m2 felt</t>
  </si>
  <si>
    <t>Vaporseal - plastic film</t>
  </si>
  <si>
    <t>Carpet and fibrous pad</t>
  </si>
  <si>
    <t>Carpet and rubber pad</t>
  </si>
  <si>
    <t>Cork tile - 3.2mm</t>
  </si>
  <si>
    <t>Terrazzo - 25mm</t>
  </si>
  <si>
    <t>Tile: asphalt - linoleum - vinyl - rubber</t>
  </si>
  <si>
    <t>Tile: vinyl asbestos</t>
  </si>
  <si>
    <t>Wood - hardwood finish - 19mm</t>
  </si>
  <si>
    <t>Insulation: Mineral fiber - processed from rock - slag - or glass - 75-100mm 6.4-32 kg/m3</t>
  </si>
  <si>
    <t>Insulation: Mineral fiber - processed from rock - slag - or glass - 90mm -6.4-32 kg/m3</t>
  </si>
  <si>
    <t>Insulation: Mineral fiber - processed from rock - slag - or glass - 90mm - 19-26 kg/m3</t>
  </si>
  <si>
    <t>Insulation: Mineral fiber - processed from rock - slag - or glass - 140-165mm - 6.4-32 kg/m3</t>
  </si>
  <si>
    <t>Insulation: Mineral fiber - processed from rock - slag - or glass - 140mm - 10-26 kg/m3</t>
  </si>
  <si>
    <t>Insulation: Mineral fiber - processed from rock - slag - or glass - 150-190mm - 6.4-32 kg/m3</t>
  </si>
  <si>
    <t>Insulation: Mineral fiber - processed from rock - slag - or glass - 210-250mm - 6.4-32 kg/m3</t>
  </si>
  <si>
    <t>Insulation: Mineral fiber - processed from rock - slag - or glass - 250-330mm - 6.4-32 kg/m3</t>
  </si>
  <si>
    <t>Acoustical tile - 12.7mm</t>
  </si>
  <si>
    <t>Acoustical tile - 19mm</t>
  </si>
  <si>
    <t>Mineral fiber (rock - slag - glass) - 95-130mm</t>
  </si>
  <si>
    <t>Mineral fiber (rock - slag - glass) - 170-220mm</t>
  </si>
  <si>
    <t>Mineral fiber (rock - slag - glass) - 190-250mm</t>
  </si>
  <si>
    <t>Mineral fiber (rock - slag - glass) - 260-350mm</t>
  </si>
  <si>
    <t>Mineral fiber (rock - slag - glass) - 90mm (closed sidewall application)</t>
  </si>
  <si>
    <t>Asbestos-cement shingles</t>
  </si>
  <si>
    <t>Asphalt roll roofing</t>
  </si>
  <si>
    <t>Built-up roofing - 10mm</t>
  </si>
  <si>
    <t>Slate - 13mm</t>
  </si>
  <si>
    <t>Wood shingles - plain and plastic film faced</t>
  </si>
  <si>
    <t>Cement Plaster: Sand aggregate - 10mm</t>
  </si>
  <si>
    <t>Cement Placter: Sand aggregate - 20mm</t>
  </si>
  <si>
    <t>Gypsum plaster: Lightweight aggregate - 13mm</t>
  </si>
  <si>
    <t>Gypsum plaster: Lightweight aggregate - 16mm</t>
  </si>
  <si>
    <t>Gypsum plaster: Lightweight aggregate on metal lath - 19mm</t>
  </si>
  <si>
    <t>Perlite aggregate plaster: Sand aggregate - 13mm</t>
  </si>
  <si>
    <t>Perlite aggregate plaster: Sand aggregate - 16mm</t>
  </si>
  <si>
    <t>Perlite aggregate plaster: Sand aggregate on metal lath - 19mm</t>
  </si>
  <si>
    <t>Clay tile - hollow - 1 cell deep - 75mm</t>
  </si>
  <si>
    <t>Clay tile - hollow - 1 cell deep - 100mm</t>
  </si>
  <si>
    <t>Clay tile - hollow - 2 cells deep - 150mm</t>
  </si>
  <si>
    <t>Clay tile - hollow - 2 cells deep - 200mm</t>
  </si>
  <si>
    <t>Clay tile - hollow - 2 cells deep - 250mm</t>
  </si>
  <si>
    <t>Clay tile - hollow - 3 cells deep - 300mm</t>
  </si>
  <si>
    <t>Gypsum partition tile 75 by 300 by 760mm - solid</t>
  </si>
  <si>
    <t>Gypsum partition tile 75 by 300 by 760mm - 4 cells</t>
  </si>
  <si>
    <t>Gypsum partition tile 100 by 300 by 760mm - 3 cells</t>
  </si>
  <si>
    <t>Shingles: Asbestos-cement</t>
  </si>
  <si>
    <t>Shingles: Wood 400mm - 190-mm exposure</t>
  </si>
  <si>
    <t>Shingles: Wood -double 400mm - 300-mm exposure</t>
  </si>
  <si>
    <t>Shingles: Wood - plus insul. backer board</t>
  </si>
  <si>
    <t>Siding: Asbestos-cement 6.4mm</t>
  </si>
  <si>
    <t>Siding: Asphalt roll</t>
  </si>
  <si>
    <t>Siding: Asphalt insulating</t>
  </si>
  <si>
    <t>Siding: Hardboard 11mm</t>
  </si>
  <si>
    <t>Siding: Wood - drop 20 by 200mm</t>
  </si>
  <si>
    <t>Siding: Wood - bevel 13 by 200mm - lapped</t>
  </si>
  <si>
    <t>Siding: Wood - bevel 19 by 250mm - lapped</t>
  </si>
  <si>
    <t>Siding: Wood - plywood 9.5mm - lapped</t>
  </si>
  <si>
    <t>Siding: Hollow-backed</t>
  </si>
  <si>
    <t>Siding: Insulating-board backed 9.5mm nominal</t>
  </si>
  <si>
    <t>Siding: Insulating-board backed 9.5mm nominal - foil backed</t>
  </si>
  <si>
    <t>Siding: Architectural (soda-lime float) glass</t>
  </si>
  <si>
    <t>TEMPLATE WINDOW CONSTRUCTIONS</t>
  </si>
  <si>
    <r>
      <t>R</t>
    </r>
    <r>
      <rPr>
        <b/>
        <vertAlign val="subscript"/>
        <sz val="10"/>
        <rFont val="Arial Narrow"/>
        <family val="2"/>
      </rPr>
      <t>w</t>
    </r>
  </si>
  <si>
    <t>Sgl Clr 3mm</t>
  </si>
  <si>
    <t>Sgl Clr 6mm</t>
  </si>
  <si>
    <t>Sgl Clr Low Iron 3mm</t>
  </si>
  <si>
    <t>Sgl Clr Low Iron 5mm</t>
  </si>
  <si>
    <t>Sgl Bronze 3mm</t>
  </si>
  <si>
    <t>Sgl Bronze 6mm</t>
  </si>
  <si>
    <t>Sgl Green 3mm</t>
  </si>
  <si>
    <t>Sgl Green 6mm</t>
  </si>
  <si>
    <t>Sgl Grey 3mm</t>
  </si>
  <si>
    <t>Sgl Grey 6mm</t>
  </si>
  <si>
    <t>Sgl Blue 6mm</t>
  </si>
  <si>
    <t>Sgl Ref-A-L Clr 6mm</t>
  </si>
  <si>
    <t>Sgl Ref-A-M Clr 6mm</t>
  </si>
  <si>
    <t>Sgl Ref-A-H Clr 6mm</t>
  </si>
  <si>
    <t>Sgl Ref-A-L Tint 6mm</t>
  </si>
  <si>
    <t>Sgl Ref-A-M Tint 6mm</t>
  </si>
  <si>
    <t>Sgl Ref-A-H Tint 6mm</t>
  </si>
  <si>
    <t>Sgl Ref-B-L Clr 6mm</t>
  </si>
  <si>
    <t>Sgl Ref-B-H Clr 6mm</t>
  </si>
  <si>
    <t>Sgl Ref-B-L Tint 6mm</t>
  </si>
  <si>
    <t>Sgl Ref-B-M Tint 6mm</t>
  </si>
  <si>
    <t>Sgl Ref-B-H Tint 6mm</t>
  </si>
  <si>
    <t>Sgl Ref-C-L Clr 6mm</t>
  </si>
  <si>
    <t>Sgl Ref-C-M Clr 6mm</t>
  </si>
  <si>
    <t>Sgl Ref-C-H Clr 6mm</t>
  </si>
  <si>
    <t>Sgl Ref-C-L Tint 6mm</t>
  </si>
  <si>
    <t>Sgl Ref-C-M Tint 6mm</t>
  </si>
  <si>
    <t>Sgl Ref-C-H Tint 6mm</t>
  </si>
  <si>
    <t>Sgl Ref-D Clr 6mm</t>
  </si>
  <si>
    <t>Sgl Ref-D Tint 6mm</t>
  </si>
  <si>
    <t>Sgl LoE (e2=.4) Clr 3mm</t>
  </si>
  <si>
    <t>Sgl LoE (e2=.2) Clr 3mm</t>
  </si>
  <si>
    <t>Sgl LoE (e2=.2) Clr 6mm</t>
  </si>
  <si>
    <t>Sgl Elec Abs Bleached 6mm</t>
  </si>
  <si>
    <t>Sgl Elec Abs Colored 6mm</t>
  </si>
  <si>
    <t>Sgl Elec Ref Bleached 6mm</t>
  </si>
  <si>
    <t>Sgl Elec Ref Colored 6mm</t>
  </si>
  <si>
    <t>Dbl Clr 3mm/6mm Air</t>
  </si>
  <si>
    <t>AIR 6MM</t>
  </si>
  <si>
    <t>Dbl Clr 3mm/13mm Air</t>
  </si>
  <si>
    <t>AIR 13MM</t>
  </si>
  <si>
    <t>Dbl Clr 3mm/13mm Arg</t>
  </si>
  <si>
    <t>ARGON 13MM</t>
  </si>
  <si>
    <t>Dbl Clr 6mm/6mm Air</t>
  </si>
  <si>
    <t>Dbl Clr 6mm/13mm Air</t>
  </si>
  <si>
    <t>Dbl Clr 6mm/13mm Arg</t>
  </si>
  <si>
    <t>Dbl Clr Low Iron 3mm/6mm Air</t>
  </si>
  <si>
    <t>Dbl Clr Low Iron 3mm/13mm Air</t>
  </si>
  <si>
    <t>Dbl Clr Low Iron 3mm/13mm Arg</t>
  </si>
  <si>
    <t>Dbl Clr Low Iron 5mm/6mm Air</t>
  </si>
  <si>
    <t>Dbl Clr Low Iron 5mm/13mm Air</t>
  </si>
  <si>
    <t>Dbl Clr Low Iron 5mm/13mm Arg</t>
  </si>
  <si>
    <t>Dbl Bronze 3mm/6mm Air</t>
  </si>
  <si>
    <t>Dbl Bronze 3mm/13mm Air</t>
  </si>
  <si>
    <t>Dbl Bronze 3mm/13mm Arg</t>
  </si>
  <si>
    <t>Dbl Bronze 6mm/6mm Air</t>
  </si>
  <si>
    <t>Dbl Bronze 6mm/13mm Air</t>
  </si>
  <si>
    <t>Dbl Bronze 6mm/13mm Arg</t>
  </si>
  <si>
    <t>Dbl Green 3m/6mm Air</t>
  </si>
  <si>
    <t>Dbl Green 3mm/13mm Air</t>
  </si>
  <si>
    <t>Dbl Green 3mm/13mm Arg</t>
  </si>
  <si>
    <t>Dbl Green 6mm/6mm Air</t>
  </si>
  <si>
    <t>Dbl Green 6mm/13mm Air</t>
  </si>
  <si>
    <t>Dbl Green 6mm/13mm Arg</t>
  </si>
  <si>
    <t>Dbl Grey 3mm/6mm Air</t>
  </si>
  <si>
    <t>Dbl Grey 3mm/13mm Air</t>
  </si>
  <si>
    <t>Dbl Grey 3mm/13mm Arg</t>
  </si>
  <si>
    <t>Dbl Grey 6mm/6mm Air</t>
  </si>
  <si>
    <t>Dbl Grey 6mm/13mm Air</t>
  </si>
  <si>
    <t>Dbl Grey 6mm/13mm Arg</t>
  </si>
  <si>
    <t>Dbl Blue 6mm/6mm Air</t>
  </si>
  <si>
    <t>Dbl Blue 6mm/13mm Air</t>
  </si>
  <si>
    <t>Dbl Blue 6mm/13mm Arg</t>
  </si>
  <si>
    <t>Dbl Ref-A-L Clr 6mm/6mm Air</t>
  </si>
  <si>
    <t>Dbl Ref-A-L Clr 6mm/13mm Air</t>
  </si>
  <si>
    <t>Dbl Ref-A-L Clr 6mm/13mm Arg</t>
  </si>
  <si>
    <t>Dbl Ref-A-M Clr 6mm/6mm Air</t>
  </si>
  <si>
    <t>Dbl Ref-A-M Clr 6mm/13mm Air</t>
  </si>
  <si>
    <t>Dbl Ref-A-M Clr 6mm/13mm Arg</t>
  </si>
  <si>
    <t>Dbl Ref-A-H Clr 6mm/6mm Air</t>
  </si>
  <si>
    <t>Dbl Ref-A-H 6mm/13mm Air</t>
  </si>
  <si>
    <t>Dbl Ref-A-H Clr 6mm/13mm Arg</t>
  </si>
  <si>
    <t>Dbl Ref-A-L Tint 6mm/6mm Air</t>
  </si>
  <si>
    <t>Dbl Ref-A-L Tint 6mm/13mm Air</t>
  </si>
  <si>
    <t>Dbl Ref-A-L Tint 6mm/13mm Arg</t>
  </si>
  <si>
    <t>Dbl Ref-A-M Tint 6mm/6mm Air</t>
  </si>
  <si>
    <t>Dbl Ref-A-M Tint 6mm/13mm Air</t>
  </si>
  <si>
    <t>Dbl Ref-A-M Tint 6mm/13mm Arg</t>
  </si>
  <si>
    <t>Dbl Ref-A-H Tint 6mm/6mm Air</t>
  </si>
  <si>
    <t>Dbl Ref-A-H Tint 6mm/13mm Air</t>
  </si>
  <si>
    <t>Dbl Ref-A-H Tint 6mm/13mm Arg</t>
  </si>
  <si>
    <t>Dbl Ref-B-L Clr 6mm/6mm Air</t>
  </si>
  <si>
    <t>Dbl Ref-B-L Clr 6mm/13mm Air</t>
  </si>
  <si>
    <t>Dbl Ref-B-L Clr 6mm/13mm Arg</t>
  </si>
  <si>
    <t>Dbl Ref-B-H Clr 6mm/6mm Air</t>
  </si>
  <si>
    <t>Dbl Ref-B-H Clr 6mm/13mm Air</t>
  </si>
  <si>
    <t>Dbl Ref-B-H Clr 6mm/13mm Arg</t>
  </si>
  <si>
    <t>Dbl Ref-B-L Tint 6mm/6mm Air</t>
  </si>
  <si>
    <t>Dbl Ref-B-L Tint 6mm/13mm Air</t>
  </si>
  <si>
    <t>Dbl Ref-B-L Tint 6mm/13mm Arg</t>
  </si>
  <si>
    <t>Dbl Ref-B-M Tint 6mm/6mm Air</t>
  </si>
  <si>
    <t>Dbl Ref-B-M Tint 6mm/13mm Air</t>
  </si>
  <si>
    <t>Dbl Ref-B-M Tint 6mm/13mm Arg</t>
  </si>
  <si>
    <t>Dbl Ref-B-H Tint 6mm/6mm Air</t>
  </si>
  <si>
    <t>Dbl Ref-B-H Tint 6mm/13mm Air</t>
  </si>
  <si>
    <t>Dbl Ref B-H Tint 6mm/13mm Arg</t>
  </si>
  <si>
    <t>Dbl Ref-C-L Clr 6mm/6mm Air</t>
  </si>
  <si>
    <t>Dbl Ref-C-L Clr 6mm/13mm Air</t>
  </si>
  <si>
    <t>Dbl Ref-C-L Clr 6mm/13mm Arg</t>
  </si>
  <si>
    <t>Dbl Ref-C-M Clr 6mm/6mm Air</t>
  </si>
  <si>
    <t>Dbl Ref-C-M Clr 6mm/13mm Air</t>
  </si>
  <si>
    <t>Dbl Ref-C-M Clr 6mm/13mm Arg</t>
  </si>
  <si>
    <t>Dbl Ref-C-H Clr 6mm/6mm Air</t>
  </si>
  <si>
    <t>Dbl Ref-C-H Clr 6mm/13mm Air</t>
  </si>
  <si>
    <t>Dbl Ref-C-H Clr 6mm/13mm Arg</t>
  </si>
  <si>
    <t>Dbl Ref-C-L Tint 6mm/6mm Air</t>
  </si>
  <si>
    <t>Dbl Ref-C-L Tint 6mm/13mm Air</t>
  </si>
  <si>
    <t>Dbl Ref-C-L Tint 6mm/13mm Arg</t>
  </si>
  <si>
    <t>Dbl Ref-C-M Tint 6mm/6mm Air</t>
  </si>
  <si>
    <t>Dbl Ref-C-M Tint 6mm/13mm Air</t>
  </si>
  <si>
    <t>Dbl Ref-C-M Tint 6mm/13mm Arg</t>
  </si>
  <si>
    <t>Dbl Ref-C-H Tint 6mm/6mm Air</t>
  </si>
  <si>
    <t>Dbl Ref-C-H Tint 6mm/13mm Air</t>
  </si>
  <si>
    <t>Dbl Ref-C-H Tint 6mm/13mm Arg</t>
  </si>
  <si>
    <t>Dbl Ref-D Clr 6mm/6mm Air</t>
  </si>
  <si>
    <t>Dbl Ref-D Clr 6mm/13mm Air</t>
  </si>
  <si>
    <t>Dbl Ref-D Clr 6mm/13mm Arg</t>
  </si>
  <si>
    <t>Dbl Ref-D Tint 6mm/6mm Air</t>
  </si>
  <si>
    <t>Dbl Ref-D Tint 6mm/13mm Air</t>
  </si>
  <si>
    <t>Dbl Ref-D Tint 6mm/13mm Arg</t>
  </si>
  <si>
    <t>Dbl LoE (e2=.4) Clr 3mm/6mm Air</t>
  </si>
  <si>
    <t>Dbl LoE (e2=.4) Clr 3mm/13mm Air</t>
  </si>
  <si>
    <t>Dbl LoE (e2=.4) Clr 3mm/13mm Arg</t>
  </si>
  <si>
    <t>Dbl LoE (e2=.2) Clr 3mm/6mm Air</t>
  </si>
  <si>
    <t>Dbl LoE (e2=.2) Clr 3mm/13mm Air</t>
  </si>
  <si>
    <t>Dbl LoE (e2=.2) Clr 3mm/13mm Arg</t>
  </si>
  <si>
    <t>Dbl LoE (e2=.2) Clr 6mm/6mm Air</t>
  </si>
  <si>
    <t>Dbl LoE (e2=.2) Clr 6mm/13mm Air</t>
  </si>
  <si>
    <t>Dbl LoE (e2=.2) Clr 6mm/13mm Arg</t>
  </si>
  <si>
    <t>Dbl LoE (e2=.1) Clr 3mm/6mm Air</t>
  </si>
  <si>
    <t>Dbl LoE (e2=.1) Clr 3mm/13mm Air</t>
  </si>
  <si>
    <t>Dbl LoE (e2=.1) Clr 3mm/13mm Arg</t>
  </si>
  <si>
    <t>Dbl LoE (e2=.1) Clr 6mm/6mm Air</t>
  </si>
  <si>
    <t>Dbl LoE (e2=.1) Clr 6mm/13mm Air</t>
  </si>
  <si>
    <t>Dbl LoE (e2=.1) Clr 6mm/13mm Arg</t>
  </si>
  <si>
    <t>Dbl LoE (e2=.1) Tint 6mm/6mm Air</t>
  </si>
  <si>
    <t>Dbl LoE (e2=.1) Tint 6mm/13mm Air</t>
  </si>
  <si>
    <t>Dbl LoE (e2=.1) Tint 6mm/13mm Arg</t>
  </si>
  <si>
    <t>Dbl LoE (e3=.1) Clr 3mm/6mm Air</t>
  </si>
  <si>
    <t>Dbl LoE (e3=.1) Clr 3mm/13mm Air</t>
  </si>
  <si>
    <t>Dbl LoE (e3=.1) Clr 3mm/13mm Arg</t>
  </si>
  <si>
    <t>Dbl LoE Spec Sel Clr 3mm/6mm/6mm Air</t>
  </si>
  <si>
    <t>Dbl LoE Spec Sel Clr 3mm/13mm/6mm Air</t>
  </si>
  <si>
    <t>Dbl LoE Spec Sel Clr 3mm/13mm/6mm Arg</t>
  </si>
  <si>
    <t>Dbl LoE Spec Sel Clr 6mm/6mm Air</t>
  </si>
  <si>
    <t>Dbl LoE Spec Sel Clr 6mm/13mm Air</t>
  </si>
  <si>
    <t>Dbl LoE Spec Sel Clr 6mm/13mm Arg</t>
  </si>
  <si>
    <t>Dbl LoE Spec Sel Tint 6mm/6mm Air</t>
  </si>
  <si>
    <t>Dbl LoE Spec Sel Tint 6mm/13mm Air</t>
  </si>
  <si>
    <t>Dbl LoE Spec Sel Tint 6mm/13mm Arg</t>
  </si>
  <si>
    <t>Dbl Elec Abs Bleached 6mm/6mm Air</t>
  </si>
  <si>
    <t>Dbl Elec Abs Colored 6mm/6mm Air</t>
  </si>
  <si>
    <t>Dbl Elec Abs Bleached 6mm/13mm Air</t>
  </si>
  <si>
    <t>Dbl Elec Abs Colored 6mm/13mm Air</t>
  </si>
  <si>
    <t>Dbl Elec Abs Bleached 6mm/13mm Arg</t>
  </si>
  <si>
    <t>Dbl Elec Abs Colored 6mm/13mm Arg</t>
  </si>
  <si>
    <t>Dbl Elec Ref Bleached 6mm/6mm Air</t>
  </si>
  <si>
    <t>Dbl Elec Ref Colored 6mm/6mm Air</t>
  </si>
  <si>
    <t>Dbl Elec Ref Bleached 6mm/13mm Air</t>
  </si>
  <si>
    <t>Dbl Elec Ref Colored 6mm/13mm Air</t>
  </si>
  <si>
    <t>Dbl Elec Ref Bleached 6mm/13mm Arg</t>
  </si>
  <si>
    <t>Dbl Elec Ref Colored 6mm/13mm Arg</t>
  </si>
  <si>
    <t>Dbl LoE Elec Abs Bleached 6mm/6mm Air</t>
  </si>
  <si>
    <t>Dbl LoE Elec Abs Colored 6mm/6mm Air</t>
  </si>
  <si>
    <t>Dbl LoE Elec Abs Bleached 6mm/13mm Air</t>
  </si>
  <si>
    <t>Dbl LoE Elec Abs Colored 6mm/13mm Air</t>
  </si>
  <si>
    <t>Dbl LoE Elec Abs Bleached 6mm/13mm Arg</t>
  </si>
  <si>
    <t>Dbl LoE Elec Abs Colored 6mm/13mm Arg</t>
  </si>
  <si>
    <t>Dbl LoE Elec Ref Bleached 6mm/6mm Air</t>
  </si>
  <si>
    <t>Dbl LoE Elec Ref Colored 6mm/6mm Air</t>
  </si>
  <si>
    <t>Dbl LoE Elec Ref Bleached 6mm/13mm Air</t>
  </si>
  <si>
    <t>Dbl LoE Elec Ref Colored 6mm/13mm Air</t>
  </si>
  <si>
    <t>Dbl LoE Elec Ref Bleached 6mm/13mm Arg</t>
  </si>
  <si>
    <t>Dbl LoE Elec Ref Colored 6mm/13m Arg</t>
  </si>
  <si>
    <t>Trp Clr 3mm/6mm Air</t>
  </si>
  <si>
    <t>Trp Clr 3mm/13mm Air</t>
  </si>
  <si>
    <t>Trp Clr 3mm/13mm Arg</t>
  </si>
  <si>
    <t>Trp LoE (e5=.1) Clr 3mm/6mm Air</t>
  </si>
  <si>
    <t>Trp LoE (e5=.1) Clr 3mm/13mm Air</t>
  </si>
  <si>
    <t>Trp LoE (e5=.1) Clr 3mm/13mm Arg</t>
  </si>
  <si>
    <t>Trp LoE (e2=e5=.1) Clr 3mm/6mm Air</t>
  </si>
  <si>
    <t>Trp LoE (e2=e5=.1) Clr 3mm/13mm Air</t>
  </si>
  <si>
    <t>Trp LoE (e2=e5=.1) Clr 3mm/13mm Arg</t>
  </si>
  <si>
    <t>Trp LoE Film (88) Clr 3mm/6mm Air</t>
  </si>
  <si>
    <t>Trp LoE Film (88) Clr 3mm/13mm Air</t>
  </si>
  <si>
    <t>Trp LoE Film (77) Clr 3mm/6mm Air</t>
  </si>
  <si>
    <t>Trp LoE Film (77) Clr 3mm/13mm Air</t>
  </si>
  <si>
    <t>Trp LoE Film (66) Clr 6mm/6mm Air</t>
  </si>
  <si>
    <t>Trp LoE Film (66) Clr 6mm/13mm Air</t>
  </si>
  <si>
    <t>Trp LoE Film (66) Bronze 6mm/6mm Air</t>
  </si>
  <si>
    <t>Trp LoE Film (66) Bronze 6mm/13mm Air</t>
  </si>
  <si>
    <t>Trp LoE Film (55) Clr 6mm/6mm Air</t>
  </si>
  <si>
    <t>Trp LoE Film (55) Clr 6mm/13m Air</t>
  </si>
  <si>
    <t>Trp LoE Film (55) Bronze 6mm/6mm Air</t>
  </si>
  <si>
    <t>Trp LoE Film (55) Bronze 6mm/13mm Air</t>
  </si>
  <si>
    <t>Trp LoE Film (44) Bronze 6mm/6mm Air</t>
  </si>
  <si>
    <t>Trp LoE Film (44) Bronze 6mm/13mm Air</t>
  </si>
  <si>
    <t>Trp LoE Film (33) Bronze 6mm/6mm Air</t>
  </si>
  <si>
    <t>Trp LoE Film (33) Bronze 6mm/13mm Air</t>
  </si>
  <si>
    <t>Quadruple LoE Films (88) 3mm/8mm Krypton</t>
  </si>
  <si>
    <t>KRYPTON 8MM</t>
  </si>
  <si>
    <t>KRYPTON 3MM</t>
  </si>
  <si>
    <t>!***********************************       CONSTRUCTIONS             *************************</t>
  </si>
  <si>
    <t>!***********************************      For walls roofs, floors    *************************</t>
  </si>
  <si>
    <t>!******************************</t>
  </si>
  <si>
    <t>MATERIALS  *************************************</t>
  </si>
  <si>
    <t>!********************                                                        **************</t>
  </si>
  <si>
    <t>!********************************************************</t>
  </si>
  <si>
    <t>CONSTRUCTIONS   *************************</t>
  </si>
  <si>
    <t>Fenestration            *************************</t>
  </si>
  <si>
    <t>WINDOW MATERIALS   *************************</t>
  </si>
  <si>
    <t>!</t>
  </si>
  <si>
    <t>Materials - User Defined</t>
  </si>
  <si>
    <t>None Found</t>
  </si>
  <si>
    <t>R</t>
  </si>
  <si>
    <t>k</t>
  </si>
  <si>
    <t>t</t>
  </si>
  <si>
    <t>Thermal A</t>
  </si>
  <si>
    <t>Solar A</t>
  </si>
  <si>
    <t>Visible A</t>
  </si>
  <si>
    <t>Constructions</t>
  </si>
  <si>
    <t>Mat'l 1 R</t>
  </si>
  <si>
    <t>Mat'l 2 R</t>
  </si>
  <si>
    <t>Mat'l 3 R</t>
  </si>
  <si>
    <t>Mat'l 4 R</t>
  </si>
  <si>
    <t>Mat'l 5 R</t>
  </si>
  <si>
    <t>Project:</t>
  </si>
  <si>
    <t>MakeMeBetter Regional Hospital</t>
  </si>
  <si>
    <t>Project No.</t>
  </si>
  <si>
    <t>2121000-397</t>
  </si>
  <si>
    <t>Materials - Pre-Defined</t>
  </si>
  <si>
    <t>Nul ----------------------&gt;</t>
  </si>
  <si>
    <t>Mat. Name Lyr 1</t>
  </si>
  <si>
    <t>Mat. Name Lyr 2</t>
  </si>
  <si>
    <t>Mat. Name Lyr 3</t>
  </si>
  <si>
    <t>Mat. Name Lyr 4</t>
  </si>
  <si>
    <t>Mat. Name Lyr 5</t>
  </si>
  <si>
    <t>WinMat. ID Lyr 1</t>
  </si>
  <si>
    <t>WinMat. Name Lyr 1</t>
  </si>
  <si>
    <t>WinMat. ID Lyr 2</t>
  </si>
  <si>
    <t>WinMat. Name Lyr 2</t>
  </si>
  <si>
    <t>WinMat. ID Lyr 3</t>
  </si>
  <si>
    <t>WinMat. Name Lyr 3</t>
  </si>
  <si>
    <t>WinMat. ID Lyr 4</t>
  </si>
  <si>
    <t>WinMat. Name Lyr 4</t>
  </si>
  <si>
    <t>WinMat. ID Lyr 5</t>
  </si>
  <si>
    <t>WinMat. Name Lyr 5</t>
  </si>
  <si>
    <t>WinMat. ID Lyr 6</t>
  </si>
  <si>
    <t>WinMat. Name Lyr 6</t>
  </si>
  <si>
    <t>WinMat. ID Lyr 7</t>
  </si>
  <si>
    <t>WinMat. Name Lyr 7</t>
  </si>
  <si>
    <t>Window Material Type</t>
  </si>
  <si>
    <t>Krypton</t>
  </si>
  <si>
    <t>Argon</t>
  </si>
  <si>
    <t>Kypton</t>
  </si>
  <si>
    <t>Gas Mix</t>
  </si>
  <si>
    <t xml:space="preserve"> </t>
  </si>
  <si>
    <t>AIR 3MM</t>
  </si>
  <si>
    <t>AIR 8MM</t>
  </si>
  <si>
    <t>ARGON 3MM</t>
  </si>
  <si>
    <t>ARGON 6MM</t>
  </si>
  <si>
    <t>ARGON 8MM</t>
  </si>
  <si>
    <t>KRYPTON 6MM</t>
  </si>
  <si>
    <t>KRYPTON 13MM</t>
  </si>
  <si>
    <t>XENON 3MM</t>
  </si>
  <si>
    <t>Xenon</t>
  </si>
  <si>
    <t>XENON 6MM</t>
  </si>
  <si>
    <t>XENON 8MM</t>
  </si>
  <si>
    <t>XENON 13MM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</si>
</sst>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\ hh:mm"/>
    <numFmt numFmtId="165" formatCode="0.000"/>
    <numFmt numFmtId="166" formatCode="0.0000"/>
    <numFmt numFmtId="167" formatCode="yyyy\-mm\-dd"/>
    <numFmt numFmtId="168" formatCode="mmmm"/>
    <numFmt numFmtId="169" formatCode="0.0"/>
    <numFmt numFmtId="170" formatCode="0.00E+0"/>
  </numFmts>
  <fonts count="41">
    <font>
      <sz val="11"/>
      <color rgb="FF000000"/>
      <name val="Arial"/>
      <family val="2"/>
    </font>
    <font>
      <b/>
      <sz val="9"/>
      <color rgb="FF9BBB59"/>
      <name val="Arial"/>
      <family val="2"/>
    </font>
    <font>
      <b/>
      <sz val="10"/>
      <name val="Arial"/>
      <family val="2"/>
    </font>
    <font>
      <b/>
      <sz val="9"/>
      <color rgb="FF0000FF"/>
      <name val="Arial"/>
      <family val="2"/>
    </font>
    <font>
      <sz val="8"/>
      <color rgb="FF000000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vertAlign val="subscript"/>
      <sz val="11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vertAlign val="superscript"/>
      <sz val="9"/>
      <name val="Arial Narrow"/>
      <family val="2"/>
    </font>
    <font>
      <vertAlign val="superscript"/>
      <sz val="10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b/>
      <vertAlign val="subscript"/>
      <sz val="9"/>
      <name val="Arial Narrow"/>
      <family val="2"/>
    </font>
    <font>
      <b/>
      <vertAlign val="subscript"/>
      <sz val="11"/>
      <name val="Arial"/>
      <family val="2"/>
    </font>
    <font>
      <sz val="10"/>
      <color rgb="FF999999"/>
      <name val="Arial Narrow"/>
      <family val="2"/>
    </font>
    <font>
      <b/>
      <sz val="14"/>
      <name val="Arial Narrow"/>
      <family val="2"/>
    </font>
    <font>
      <sz val="11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rgb="FF000000"/>
      <name val="Arial Narrow"/>
      <family val="2"/>
    </font>
    <font>
      <b/>
      <vertAlign val="subscript"/>
      <sz val="10"/>
      <name val="Arial Narrow"/>
      <family val="2"/>
    </font>
    <font>
      <b/>
      <vertAlign val="superscript"/>
      <sz val="9"/>
      <name val="Arial Narrow"/>
      <family val="2"/>
    </font>
    <font>
      <sz val="10"/>
      <color rgb="FF0000FF"/>
      <name val="Arial"/>
      <family val="2"/>
    </font>
    <font>
      <sz val="10"/>
      <color rgb="FF0000FF"/>
      <name val="Arial Narrow"/>
      <family val="2"/>
    </font>
    <font>
      <b/>
      <vertAlign val="superscript"/>
      <sz val="12"/>
      <name val="Arial Narrow"/>
      <family val="2"/>
    </font>
    <font>
      <sz val="9"/>
      <color rgb="FF0000FF"/>
      <name val="Arial Narrow"/>
      <family val="2"/>
    </font>
    <font>
      <b/>
      <vertAlign val="superscript"/>
      <sz val="10"/>
      <name val="Arial"/>
      <family val="2"/>
    </font>
    <font>
      <b/>
      <vertAlign val="subscript"/>
      <sz val="12"/>
      <name val="Arial"/>
      <family val="2"/>
    </font>
    <font>
      <sz val="10"/>
      <color rgb="FFFFFFFF"/>
      <name val="Arial"/>
      <family val="2"/>
    </font>
    <font>
      <sz val="9"/>
      <color rgb="FFFFFFFF"/>
      <name val="Arial Narrow"/>
      <family val="2"/>
    </font>
    <font>
      <sz val="8"/>
      <name val="Arial Narrow"/>
      <family val="2"/>
    </font>
    <font>
      <sz val="9"/>
      <color rgb="FF000000"/>
      <name val="Arial Narrow"/>
      <family val="2"/>
    </font>
    <font>
      <sz val="10"/>
      <name val="Courier 10 Pitch"/>
    </font>
    <font>
      <u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8F8F8"/>
      </patternFill>
    </fill>
    <fill>
      <patternFill patternType="solid">
        <fgColor rgb="FFF8F8F8"/>
        <bgColor rgb="FFFFFFFF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3" fillId="3" borderId="1">
      <protection locked="0" hidden="1"/>
    </xf>
  </cellStyleXfs>
  <cellXfs count="453">
    <xf numFmtId="0" fontId="0" fillId="0" borderId="0" xfId="0"/>
    <xf numFmtId="0" fontId="0" fillId="0" borderId="0" xfId="0" applyAlignme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 applyProtection="1">
      <alignment horizontal="right" vertical="center" wrapText="1"/>
      <protection hidden="1"/>
    </xf>
    <xf numFmtId="0" fontId="0" fillId="0" borderId="3" xfId="0" applyBorder="1" applyAlignment="1"/>
    <xf numFmtId="0" fontId="5" fillId="2" borderId="4" xfId="1" applyFont="1" applyFill="1" applyBorder="1" applyAlignment="1" applyProtection="1">
      <alignment horizontal="center" vertical="center" wrapText="1"/>
    </xf>
    <xf numFmtId="0" fontId="5" fillId="2" borderId="5" xfId="1" applyFont="1" applyFill="1" applyBorder="1" applyAlignment="1" applyProtection="1">
      <alignment vertical="center" wrapText="1"/>
    </xf>
    <xf numFmtId="0" fontId="5" fillId="2" borderId="6" xfId="1" applyFont="1" applyFill="1" applyBorder="1" applyAlignment="1" applyProtection="1">
      <alignment vertical="center" wrapText="1"/>
    </xf>
    <xf numFmtId="0" fontId="5" fillId="2" borderId="4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wrapText="1"/>
    </xf>
    <xf numFmtId="0" fontId="7" fillId="2" borderId="8" xfId="1" applyFont="1" applyFill="1" applyBorder="1" applyAlignment="1" applyProtection="1">
      <alignment horizontal="center" vertical="center"/>
    </xf>
    <xf numFmtId="0" fontId="7" fillId="2" borderId="9" xfId="1" applyFont="1" applyFill="1" applyBorder="1" applyAlignment="1" applyProtection="1">
      <alignment horizontal="center" vertical="center"/>
    </xf>
    <xf numFmtId="0" fontId="7" fillId="2" borderId="10" xfId="1" applyFont="1" applyFill="1" applyBorder="1" applyAlignment="1" applyProtection="1">
      <alignment horizontal="center" vertical="center" wrapText="1"/>
    </xf>
    <xf numFmtId="0" fontId="7" fillId="2" borderId="9" xfId="1" applyFont="1" applyFill="1" applyBorder="1" applyAlignment="1" applyProtection="1">
      <alignment horizontal="center" vertical="center" wrapText="1"/>
    </xf>
    <xf numFmtId="0" fontId="7" fillId="2" borderId="11" xfId="1" applyFont="1" applyFill="1" applyBorder="1" applyAlignment="1" applyProtection="1">
      <alignment vertical="center" wrapText="1"/>
    </xf>
    <xf numFmtId="0" fontId="7" fillId="2" borderId="12" xfId="1" applyFont="1" applyFill="1" applyBorder="1" applyAlignment="1" applyProtection="1">
      <alignment horizontal="left" vertical="center" wrapText="1"/>
    </xf>
    <xf numFmtId="0" fontId="7" fillId="2" borderId="10" xfId="1" applyFont="1" applyFill="1" applyBorder="1" applyAlignment="1" applyProtection="1">
      <alignment horizontal="left" vertical="center" wrapText="1"/>
    </xf>
    <xf numFmtId="0" fontId="7" fillId="2" borderId="11" xfId="1" applyFont="1" applyFill="1" applyBorder="1" applyAlignment="1" applyProtection="1">
      <alignment horizontal="center" vertical="center" wrapText="1"/>
    </xf>
    <xf numFmtId="0" fontId="7" fillId="2" borderId="13" xfId="1" applyFont="1" applyFill="1" applyBorder="1" applyAlignment="1" applyProtection="1">
      <alignment horizontal="center" vertical="center"/>
    </xf>
    <xf numFmtId="0" fontId="7" fillId="2" borderId="7" xfId="1" applyFont="1" applyFill="1" applyBorder="1" applyAlignment="1" applyProtection="1">
      <alignment horizontal="center" vertical="center"/>
    </xf>
    <xf numFmtId="0" fontId="7" fillId="2" borderId="13" xfId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/>
    <xf numFmtId="0" fontId="6" fillId="2" borderId="15" xfId="1" applyFont="1" applyFill="1" applyBorder="1" applyAlignment="1" applyProtection="1"/>
    <xf numFmtId="0" fontId="5" fillId="2" borderId="15" xfId="1" applyFont="1" applyFill="1" applyBorder="1" applyAlignment="1" applyProtection="1">
      <alignment wrapText="1"/>
    </xf>
    <xf numFmtId="0" fontId="5" fillId="2" borderId="16" xfId="1" applyFont="1" applyFill="1" applyBorder="1" applyAlignment="1" applyProtection="1">
      <alignment wrapText="1"/>
    </xf>
    <xf numFmtId="0" fontId="5" fillId="2" borderId="14" xfId="1" applyFont="1" applyFill="1" applyBorder="1" applyAlignment="1" applyProtection="1"/>
    <xf numFmtId="0" fontId="5" fillId="2" borderId="17" xfId="1" applyFont="1" applyFill="1" applyBorder="1" applyAlignment="1" applyProtection="1">
      <alignment wrapText="1"/>
    </xf>
    <xf numFmtId="0" fontId="9" fillId="2" borderId="16" xfId="1" applyFont="1" applyFill="1" applyBorder="1" applyAlignment="1" applyProtection="1">
      <alignment horizontal="center" wrapText="1"/>
    </xf>
    <xf numFmtId="0" fontId="10" fillId="2" borderId="18" xfId="1" applyFont="1" applyFill="1" applyBorder="1" applyAlignment="1" applyProtection="1">
      <alignment horizontal="center"/>
    </xf>
    <xf numFmtId="0" fontId="10" fillId="2" borderId="19" xfId="1" applyFont="1" applyFill="1" applyBorder="1" applyAlignment="1" applyProtection="1">
      <alignment horizontal="center"/>
    </xf>
    <xf numFmtId="0" fontId="10" fillId="2" borderId="14" xfId="1" applyFont="1" applyFill="1" applyBorder="1" applyAlignment="1" applyProtection="1">
      <alignment horizontal="center"/>
    </xf>
    <xf numFmtId="0" fontId="10" fillId="2" borderId="17" xfId="1" applyFont="1" applyFill="1" applyBorder="1" applyAlignment="1" applyProtection="1">
      <alignment horizontal="center"/>
    </xf>
    <xf numFmtId="0" fontId="10" fillId="2" borderId="17" xfId="1" applyFont="1" applyFill="1" applyBorder="1" applyAlignment="1" applyProtection="1">
      <alignment horizontal="center" wrapText="1"/>
    </xf>
    <xf numFmtId="0" fontId="9" fillId="2" borderId="20" xfId="1" applyFont="1" applyFill="1" applyBorder="1" applyAlignment="1" applyProtection="1">
      <alignment horizontal="center" wrapText="1"/>
    </xf>
    <xf numFmtId="0" fontId="10" fillId="2" borderId="16" xfId="1" applyFont="1" applyFill="1" applyBorder="1" applyAlignment="1" applyProtection="1">
      <alignment horizontal="center"/>
    </xf>
    <xf numFmtId="0" fontId="6" fillId="2" borderId="19" xfId="1" applyFont="1" applyFill="1" applyBorder="1" applyAlignment="1" applyProtection="1">
      <alignment wrapText="1"/>
    </xf>
    <xf numFmtId="0" fontId="3" fillId="3" borderId="1" xfId="1" applyAlignment="1" applyProtection="1">
      <alignment vertical="top" wrapText="1"/>
    </xf>
    <xf numFmtId="0" fontId="3" fillId="3" borderId="21" xfId="1" applyBorder="1" applyAlignment="1" applyProtection="1">
      <alignment vertical="top" wrapText="1"/>
    </xf>
    <xf numFmtId="0" fontId="3" fillId="3" borderId="8" xfId="1" applyBorder="1" applyAlignment="1" applyProtection="1">
      <alignment vertical="top" wrapText="1"/>
    </xf>
    <xf numFmtId="0" fontId="3" fillId="3" borderId="22" xfId="1" applyBorder="1" applyAlignment="1" applyProtection="1">
      <alignment vertical="top" wrapText="1"/>
    </xf>
    <xf numFmtId="0" fontId="3" fillId="3" borderId="13" xfId="1" applyBorder="1" applyAlignment="1" applyProtection="1">
      <alignment vertical="top" wrapText="1"/>
    </xf>
    <xf numFmtId="0" fontId="3" fillId="3" borderId="23" xfId="1" applyBorder="1" applyAlignment="1" applyProtection="1">
      <alignment vertical="top" wrapText="1"/>
    </xf>
    <xf numFmtId="0" fontId="3" fillId="3" borderId="24" xfId="1" applyBorder="1" applyAlignment="1" applyProtection="1">
      <alignment vertical="top" wrapText="1"/>
    </xf>
    <xf numFmtId="0" fontId="3" fillId="3" borderId="8" xfId="1" applyBorder="1" applyAlignment="1" applyProtection="1">
      <alignment horizontal="center" vertical="top" wrapText="1"/>
    </xf>
    <xf numFmtId="0" fontId="3" fillId="3" borderId="22" xfId="1" applyBorder="1" applyAlignment="1" applyProtection="1">
      <alignment horizontal="center" vertical="top" wrapText="1"/>
    </xf>
    <xf numFmtId="0" fontId="3" fillId="3" borderId="25" xfId="1" applyBorder="1" applyAlignment="1" applyProtection="1">
      <alignment horizontal="center" vertical="top" wrapText="1"/>
    </xf>
    <xf numFmtId="0" fontId="3" fillId="3" borderId="1" xfId="1" applyAlignment="1" applyProtection="1">
      <alignment horizontal="center" vertical="top" wrapText="1"/>
    </xf>
    <xf numFmtId="0" fontId="3" fillId="3" borderId="7" xfId="1" applyBorder="1" applyAlignment="1" applyProtection="1">
      <alignment wrapText="1"/>
    </xf>
    <xf numFmtId="0" fontId="1" fillId="3" borderId="1" xfId="1" applyFont="1" applyFill="1" applyBorder="1" applyAlignment="1" applyProtection="1"/>
    <xf numFmtId="0" fontId="3" fillId="3" borderId="1" xfId="1" applyFont="1" applyAlignment="1" applyProtection="1">
      <alignment wrapText="1"/>
    </xf>
    <xf numFmtId="0" fontId="3" fillId="3" borderId="21" xfId="1" applyBorder="1" applyAlignment="1" applyProtection="1">
      <alignment wrapText="1"/>
    </xf>
    <xf numFmtId="0" fontId="3" fillId="3" borderId="26" xfId="1" applyBorder="1" applyAlignment="1" applyProtection="1">
      <alignment wrapText="1"/>
    </xf>
    <xf numFmtId="0" fontId="1" fillId="3" borderId="1" xfId="1" applyFont="1" applyFill="1" applyBorder="1" applyAlignment="1" applyProtection="1">
      <alignment wrapText="1"/>
    </xf>
    <xf numFmtId="0" fontId="1" fillId="3" borderId="27" xfId="1" applyFont="1" applyFill="1" applyBorder="1" applyAlignment="1" applyProtection="1">
      <alignment horizontal="center" wrapText="1"/>
    </xf>
    <xf numFmtId="165" fontId="1" fillId="3" borderId="25" xfId="1" applyNumberFormat="1" applyFont="1" applyFill="1" applyBorder="1" applyAlignment="1" applyProtection="1">
      <alignment wrapText="1"/>
    </xf>
    <xf numFmtId="165" fontId="1" fillId="3" borderId="21" xfId="1" applyNumberFormat="1" applyFont="1" applyFill="1" applyBorder="1" applyAlignment="1" applyProtection="1">
      <alignment wrapText="1"/>
    </xf>
    <xf numFmtId="0" fontId="3" fillId="3" borderId="25" xfId="1" applyBorder="1" applyAlignment="1" applyProtection="1">
      <alignment wrapText="1"/>
    </xf>
    <xf numFmtId="0" fontId="1" fillId="3" borderId="1" xfId="1" applyFont="1" applyFill="1" applyBorder="1" applyAlignment="1" applyProtection="1">
      <alignment wrapText="1"/>
    </xf>
    <xf numFmtId="0" fontId="1" fillId="3" borderId="21" xfId="1" applyFont="1" applyFill="1" applyBorder="1" applyAlignment="1" applyProtection="1">
      <alignment horizontal="center" wrapText="1"/>
    </xf>
    <xf numFmtId="0" fontId="3" fillId="3" borderId="28" xfId="1" applyBorder="1" applyAlignment="1" applyProtection="1">
      <alignment wrapText="1"/>
    </xf>
    <xf numFmtId="0" fontId="0" fillId="0" borderId="0" xfId="0" applyAlignment="1"/>
    <xf numFmtId="0" fontId="1" fillId="3" borderId="27" xfId="1" applyFont="1" applyFill="1" applyBorder="1" applyAlignment="1" applyProtection="1">
      <alignment wrapText="1"/>
    </xf>
    <xf numFmtId="0" fontId="1" fillId="3" borderId="21" xfId="1" applyFont="1" applyFill="1" applyBorder="1" applyAlignment="1" applyProtection="1">
      <alignment wrapText="1"/>
    </xf>
    <xf numFmtId="0" fontId="1" fillId="3" borderId="25" xfId="1" applyFont="1" applyFill="1" applyBorder="1" applyAlignment="1" applyProtection="1">
      <alignment wrapText="1"/>
    </xf>
    <xf numFmtId="0" fontId="3" fillId="3" borderId="14" xfId="1" applyBorder="1" applyAlignment="1" applyProtection="1">
      <alignment wrapText="1"/>
    </xf>
    <xf numFmtId="0" fontId="1" fillId="3" borderId="17" xfId="1" applyFont="1" applyFill="1" applyBorder="1" applyAlignment="1" applyProtection="1">
      <alignment wrapText="1"/>
    </xf>
    <xf numFmtId="0" fontId="1" fillId="3" borderId="19" xfId="1" applyFont="1" applyFill="1" applyBorder="1" applyAlignment="1" applyProtection="1">
      <alignment wrapText="1"/>
    </xf>
    <xf numFmtId="0" fontId="3" fillId="3" borderId="29" xfId="1" applyBorder="1" applyAlignment="1" applyProtection="1">
      <alignment wrapText="1"/>
    </xf>
    <xf numFmtId="0" fontId="0" fillId="0" borderId="30" xfId="0" applyBorder="1" applyAlignment="1"/>
    <xf numFmtId="0" fontId="0" fillId="0" borderId="30" xfId="0" applyBorder="1" applyAlignment="1">
      <alignment vertical="top" wrapText="1"/>
    </xf>
    <xf numFmtId="0" fontId="6" fillId="0" borderId="0" xfId="0" applyFont="1" applyAlignment="1">
      <alignment wrapText="1"/>
    </xf>
    <xf numFmtId="0" fontId="0" fillId="0" borderId="0" xfId="0" applyBorder="1" applyAlignment="1"/>
    <xf numFmtId="0" fontId="7" fillId="0" borderId="0" xfId="0" applyFont="1" applyBorder="1" applyAlignment="1">
      <alignment horizontal="right"/>
    </xf>
    <xf numFmtId="0" fontId="6" fillId="0" borderId="0" xfId="0" applyFont="1" applyBorder="1" applyAlignment="1"/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 applyProtection="1">
      <alignment horizontal="right" wrapText="1"/>
      <protection hidden="1"/>
    </xf>
    <xf numFmtId="0" fontId="13" fillId="0" borderId="32" xfId="0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 vertical="center" wrapText="1"/>
    </xf>
    <xf numFmtId="0" fontId="2" fillId="2" borderId="34" xfId="1" applyFont="1" applyFill="1" applyBorder="1" applyAlignment="1" applyProtection="1">
      <alignment horizontal="center" wrapText="1"/>
    </xf>
    <xf numFmtId="0" fontId="2" fillId="2" borderId="35" xfId="1" applyFont="1" applyFill="1" applyBorder="1" applyAlignment="1" applyProtection="1">
      <alignment horizontal="center" wrapText="1"/>
    </xf>
    <xf numFmtId="0" fontId="2" fillId="2" borderId="24" xfId="1" applyFont="1" applyFill="1" applyBorder="1" applyAlignment="1" applyProtection="1">
      <alignment horizontal="center" wrapText="1"/>
    </xf>
    <xf numFmtId="0" fontId="2" fillId="2" borderId="36" xfId="1" applyFont="1" applyFill="1" applyBorder="1" applyAlignment="1" applyProtection="1">
      <alignment horizontal="center" wrapText="1"/>
    </xf>
    <xf numFmtId="0" fontId="2" fillId="2" borderId="37" xfId="1" applyFont="1" applyFill="1" applyBorder="1" applyAlignment="1" applyProtection="1">
      <alignment horizontal="center" wrapText="1"/>
    </xf>
    <xf numFmtId="0" fontId="2" fillId="2" borderId="38" xfId="1" applyFont="1" applyFill="1" applyBorder="1" applyAlignment="1" applyProtection="1">
      <alignment horizontal="center" wrapText="1"/>
    </xf>
    <xf numFmtId="0" fontId="14" fillId="2" borderId="39" xfId="1" applyFont="1" applyFill="1" applyBorder="1" applyAlignment="1" applyProtection="1">
      <alignment wrapText="1"/>
    </xf>
    <xf numFmtId="0" fontId="14" fillId="2" borderId="17" xfId="1" applyFont="1" applyFill="1" applyBorder="1" applyAlignment="1" applyProtection="1">
      <alignment wrapText="1"/>
    </xf>
    <xf numFmtId="0" fontId="14" fillId="2" borderId="17" xfId="1" applyFont="1" applyFill="1" applyBorder="1" applyAlignment="1" applyProtection="1">
      <alignment horizontal="center" wrapText="1"/>
    </xf>
    <xf numFmtId="0" fontId="14" fillId="2" borderId="40" xfId="1" applyFont="1" applyFill="1" applyBorder="1" applyAlignment="1" applyProtection="1">
      <alignment horizontal="center" wrapText="1"/>
    </xf>
    <xf numFmtId="0" fontId="10" fillId="2" borderId="19" xfId="1" applyFont="1" applyFill="1" applyBorder="1" applyAlignment="1" applyProtection="1">
      <alignment horizontal="center" vertical="center" wrapText="1"/>
    </xf>
    <xf numFmtId="0" fontId="10" fillId="2" borderId="14" xfId="1" applyFont="1" applyFill="1" applyBorder="1" applyAlignment="1" applyProtection="1">
      <alignment horizontal="center" vertical="center" wrapText="1"/>
    </xf>
    <xf numFmtId="0" fontId="10" fillId="2" borderId="17" xfId="1" applyFont="1" applyFill="1" applyBorder="1" applyAlignment="1" applyProtection="1">
      <alignment horizontal="center" vertical="center" wrapText="1"/>
    </xf>
    <xf numFmtId="0" fontId="10" fillId="2" borderId="41" xfId="1" applyFont="1" applyFill="1" applyBorder="1" applyAlignment="1" applyProtection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 vertical="top" wrapText="1"/>
    </xf>
    <xf numFmtId="0" fontId="10" fillId="0" borderId="42" xfId="0" applyFont="1" applyBorder="1" applyAlignment="1">
      <alignment horizontal="center" vertical="top" wrapText="1"/>
    </xf>
    <xf numFmtId="0" fontId="3" fillId="3" borderId="43" xfId="1" applyBorder="1" applyAlignment="1" applyProtection="1">
      <alignment vertical="top" wrapText="1"/>
    </xf>
    <xf numFmtId="0" fontId="3" fillId="3" borderId="1" xfId="1" applyFont="1" applyBorder="1" applyAlignment="1" applyProtection="1">
      <alignment horizontal="left" vertical="top" wrapText="1"/>
    </xf>
    <xf numFmtId="0" fontId="3" fillId="3" borderId="1" xfId="1" applyBorder="1" applyAlignment="1" applyProtection="1">
      <alignment horizontal="center" vertical="top" wrapText="1"/>
    </xf>
    <xf numFmtId="0" fontId="3" fillId="3" borderId="44" xfId="1" applyBorder="1" applyAlignment="1" applyProtection="1">
      <alignment horizontal="center" vertical="top" wrapText="1"/>
    </xf>
    <xf numFmtId="0" fontId="3" fillId="3" borderId="43" xfId="1" applyBorder="1" applyAlignment="1" applyProtection="1">
      <alignment horizontal="right" vertical="top" wrapText="1"/>
    </xf>
    <xf numFmtId="0" fontId="3" fillId="3" borderId="1" xfId="1" applyFont="1" applyBorder="1" applyAlignment="1" applyProtection="1">
      <alignment vertical="top" wrapText="1"/>
    </xf>
    <xf numFmtId="166" fontId="3" fillId="3" borderId="1" xfId="1" applyNumberFormat="1" applyBorder="1" applyAlignment="1" applyProtection="1">
      <alignment horizontal="center" vertical="top" wrapText="1"/>
    </xf>
    <xf numFmtId="165" fontId="3" fillId="3" borderId="1" xfId="1" applyNumberFormat="1" applyBorder="1" applyAlignment="1" applyProtection="1">
      <alignment horizontal="center" vertical="top" wrapText="1"/>
    </xf>
    <xf numFmtId="0" fontId="6" fillId="0" borderId="0" xfId="0" applyFont="1" applyAlignment="1"/>
    <xf numFmtId="0" fontId="3" fillId="3" borderId="45" xfId="1" applyBorder="1" applyAlignment="1" applyProtection="1">
      <alignment horizontal="right" vertical="top" wrapText="1"/>
    </xf>
    <xf numFmtId="0" fontId="3" fillId="3" borderId="46" xfId="1" applyBorder="1" applyAlignment="1" applyProtection="1">
      <alignment vertical="top" wrapText="1"/>
    </xf>
    <xf numFmtId="166" fontId="3" fillId="3" borderId="46" xfId="1" applyNumberFormat="1" applyBorder="1" applyAlignment="1" applyProtection="1">
      <alignment horizontal="center" vertical="top" wrapText="1"/>
    </xf>
    <xf numFmtId="0" fontId="3" fillId="3" borderId="46" xfId="1" applyBorder="1" applyAlignment="1" applyProtection="1">
      <alignment horizontal="center" vertical="top" wrapText="1"/>
    </xf>
    <xf numFmtId="165" fontId="3" fillId="3" borderId="46" xfId="1" applyNumberFormat="1" applyBorder="1" applyAlignment="1" applyProtection="1">
      <alignment horizontal="center" vertical="top" wrapText="1"/>
    </xf>
    <xf numFmtId="0" fontId="3" fillId="3" borderId="47" xfId="1" applyBorder="1" applyAlignment="1" applyProtection="1">
      <alignment horizontal="center" vertical="top" wrapText="1"/>
    </xf>
    <xf numFmtId="0" fontId="5" fillId="0" borderId="2" xfId="0" applyFont="1" applyBorder="1" applyAlignment="1"/>
    <xf numFmtId="0" fontId="5" fillId="0" borderId="0" xfId="0" applyFont="1" applyBorder="1" applyAlignment="1"/>
    <xf numFmtId="0" fontId="7" fillId="0" borderId="0" xfId="0" applyFont="1" applyAlignment="1">
      <alignment horizontal="right"/>
    </xf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Alignment="1"/>
    <xf numFmtId="0" fontId="5" fillId="0" borderId="4" xfId="0" applyFont="1" applyBorder="1" applyAlignment="1">
      <alignment horizontal="center" wrapText="1"/>
    </xf>
    <xf numFmtId="0" fontId="0" fillId="0" borderId="48" xfId="0" applyBorder="1" applyAlignment="1"/>
    <xf numFmtId="0" fontId="0" fillId="0" borderId="49" xfId="0" applyBorder="1" applyAlignment="1"/>
    <xf numFmtId="0" fontId="0" fillId="0" borderId="3" xfId="0" applyBorder="1" applyAlignment="1">
      <alignment vertical="center"/>
    </xf>
    <xf numFmtId="0" fontId="7" fillId="2" borderId="49" xfId="1" applyFont="1" applyFill="1" applyBorder="1" applyAlignment="1" applyProtection="1">
      <alignment vertical="center"/>
    </xf>
    <xf numFmtId="0" fontId="7" fillId="2" borderId="3" xfId="1" applyFont="1" applyFill="1" applyBorder="1" applyAlignment="1" applyProtection="1">
      <alignment vertical="center" wrapText="1"/>
    </xf>
    <xf numFmtId="0" fontId="7" fillId="2" borderId="49" xfId="1" applyFont="1" applyFill="1" applyBorder="1" applyAlignment="1" applyProtection="1">
      <alignment vertical="center" wrapText="1"/>
    </xf>
    <xf numFmtId="0" fontId="7" fillId="2" borderId="30" xfId="1" applyFont="1" applyFill="1" applyBorder="1" applyAlignment="1" applyProtection="1">
      <alignment vertical="center" wrapText="1"/>
    </xf>
    <xf numFmtId="0" fontId="7" fillId="2" borderId="50" xfId="1" applyFont="1" applyFill="1" applyBorder="1" applyAlignment="1" applyProtection="1">
      <alignment horizontal="center" vertical="center"/>
    </xf>
    <xf numFmtId="0" fontId="7" fillId="2" borderId="51" xfId="1" applyFont="1" applyFill="1" applyBorder="1" applyAlignment="1" applyProtection="1">
      <alignment horizontal="center" vertical="center"/>
    </xf>
    <xf numFmtId="0" fontId="7" fillId="2" borderId="52" xfId="1" applyFont="1" applyFill="1" applyBorder="1" applyAlignment="1" applyProtection="1">
      <alignment vertical="center"/>
    </xf>
    <xf numFmtId="0" fontId="6" fillId="2" borderId="53" xfId="1" applyFont="1" applyFill="1" applyBorder="1" applyAlignment="1" applyProtection="1">
      <alignment vertical="center"/>
    </xf>
    <xf numFmtId="0" fontId="5" fillId="2" borderId="54" xfId="1" applyFont="1" applyFill="1" applyBorder="1" applyAlignment="1" applyProtection="1">
      <alignment vertical="center" wrapText="1"/>
    </xf>
    <xf numFmtId="0" fontId="7" fillId="2" borderId="53" xfId="1" applyFont="1" applyFill="1" applyBorder="1" applyAlignment="1" applyProtection="1">
      <alignment vertical="center"/>
    </xf>
    <xf numFmtId="0" fontId="7" fillId="2" borderId="9" xfId="1" applyFont="1" applyFill="1" applyBorder="1" applyAlignment="1" applyProtection="1">
      <alignment vertical="center" wrapText="1"/>
    </xf>
    <xf numFmtId="0" fontId="7" fillId="2" borderId="55" xfId="1" applyFont="1" applyFill="1" applyBorder="1" applyAlignment="1" applyProtection="1">
      <alignment horizontal="center" vertical="center" wrapText="1"/>
    </xf>
    <xf numFmtId="0" fontId="6" fillId="2" borderId="23" xfId="1" applyFont="1" applyFill="1" applyBorder="1" applyAlignment="1" applyProtection="1">
      <alignment horizontal="center" vertical="center"/>
    </xf>
    <xf numFmtId="0" fontId="6" fillId="2" borderId="36" xfId="1" applyFont="1" applyFill="1" applyBorder="1" applyAlignment="1" applyProtection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6" fillId="2" borderId="1" xfId="1" applyFont="1" applyFill="1" applyBorder="1" applyAlignment="1" applyProtection="1">
      <alignment horizontal="left" vertical="center"/>
    </xf>
    <xf numFmtId="0" fontId="6" fillId="2" borderId="1" xfId="1" applyFont="1" applyFill="1" applyBorder="1" applyAlignment="1" applyProtection="1">
      <alignment horizontal="center" vertical="center"/>
    </xf>
    <xf numFmtId="0" fontId="6" fillId="2" borderId="55" xfId="1" applyFont="1" applyFill="1" applyBorder="1" applyAlignment="1" applyProtection="1">
      <alignment horizontal="center" vertical="center" wrapText="1"/>
    </xf>
    <xf numFmtId="0" fontId="6" fillId="2" borderId="25" xfId="1" applyFont="1" applyFill="1" applyBorder="1" applyAlignment="1" applyProtection="1">
      <alignment vertical="center"/>
    </xf>
    <xf numFmtId="0" fontId="6" fillId="2" borderId="56" xfId="1" applyFont="1" applyFill="1" applyBorder="1" applyAlignment="1" applyProtection="1">
      <alignment horizontal="center" vertical="center" wrapText="1"/>
    </xf>
    <xf numFmtId="0" fontId="0" fillId="2" borderId="3" xfId="1" applyFont="1" applyFill="1" applyBorder="1" applyAlignment="1" applyProtection="1"/>
    <xf numFmtId="0" fontId="6" fillId="2" borderId="57" xfId="1" applyFont="1" applyFill="1" applyBorder="1" applyAlignment="1" applyProtection="1"/>
    <xf numFmtId="0" fontId="5" fillId="2" borderId="55" xfId="1" applyFont="1" applyFill="1" applyBorder="1" applyAlignment="1" applyProtection="1">
      <alignment wrapText="1"/>
    </xf>
    <xf numFmtId="0" fontId="5" fillId="2" borderId="57" xfId="1" applyFont="1" applyFill="1" applyBorder="1" applyAlignment="1" applyProtection="1"/>
    <xf numFmtId="0" fontId="5" fillId="2" borderId="56" xfId="1" applyFont="1" applyFill="1" applyBorder="1" applyAlignment="1" applyProtection="1">
      <alignment wrapText="1"/>
    </xf>
    <xf numFmtId="0" fontId="6" fillId="2" borderId="25" xfId="1" applyFont="1" applyFill="1" applyBorder="1" applyAlignment="1" applyProtection="1"/>
    <xf numFmtId="0" fontId="6" fillId="2" borderId="27" xfId="1" applyFont="1" applyFill="1" applyBorder="1" applyAlignment="1" applyProtection="1"/>
    <xf numFmtId="0" fontId="6" fillId="2" borderId="28" xfId="1" applyFont="1" applyFill="1" applyBorder="1" applyAlignment="1" applyProtection="1"/>
    <xf numFmtId="0" fontId="6" fillId="2" borderId="26" xfId="1" applyFont="1" applyFill="1" applyBorder="1" applyAlignment="1" applyProtection="1"/>
    <xf numFmtId="0" fontId="6" fillId="2" borderId="1" xfId="1" applyFont="1" applyFill="1" applyBorder="1" applyAlignment="1" applyProtection="1"/>
    <xf numFmtId="0" fontId="6" fillId="2" borderId="55" xfId="1" applyFont="1" applyFill="1" applyBorder="1" applyAlignment="1" applyProtection="1"/>
    <xf numFmtId="0" fontId="6" fillId="2" borderId="56" xfId="1" applyFont="1" applyFill="1" applyBorder="1" applyAlignment="1" applyProtection="1"/>
    <xf numFmtId="0" fontId="6" fillId="2" borderId="3" xfId="1" applyFont="1" applyFill="1" applyBorder="1" applyAlignment="1" applyProtection="1"/>
    <xf numFmtId="0" fontId="17" fillId="2" borderId="58" xfId="1" applyFont="1" applyFill="1" applyBorder="1" applyAlignment="1" applyProtection="1">
      <alignment horizontal="right" vertical="top" wrapText="1"/>
    </xf>
    <xf numFmtId="0" fontId="17" fillId="2" borderId="20" xfId="1" applyFont="1" applyFill="1" applyBorder="1" applyAlignment="1" applyProtection="1">
      <alignment horizontal="left" vertical="top" wrapText="1"/>
    </xf>
    <xf numFmtId="0" fontId="17" fillId="2" borderId="58" xfId="1" applyFont="1" applyFill="1" applyBorder="1" applyAlignment="1" applyProtection="1">
      <alignment horizontal="left" vertical="top" wrapText="1"/>
    </xf>
    <xf numFmtId="0" fontId="17" fillId="2" borderId="15" xfId="1" applyFont="1" applyFill="1" applyBorder="1" applyAlignment="1" applyProtection="1">
      <alignment vertical="top" wrapText="1"/>
    </xf>
    <xf numFmtId="0" fontId="17" fillId="2" borderId="20" xfId="1" applyFont="1" applyFill="1" applyBorder="1" applyAlignment="1" applyProtection="1">
      <alignment horizontal="center" vertical="top" wrapText="1"/>
    </xf>
    <xf numFmtId="165" fontId="17" fillId="2" borderId="16" xfId="1" applyNumberFormat="1" applyFont="1" applyFill="1" applyBorder="1" applyAlignment="1" applyProtection="1">
      <alignment vertical="top" wrapText="1"/>
    </xf>
    <xf numFmtId="0" fontId="17" fillId="2" borderId="19" xfId="1" applyFont="1" applyFill="1" applyBorder="1" applyAlignment="1" applyProtection="1">
      <alignment vertical="top" wrapText="1"/>
    </xf>
    <xf numFmtId="0" fontId="17" fillId="2" borderId="29" xfId="1" applyFont="1" applyFill="1" applyBorder="1" applyAlignment="1" applyProtection="1">
      <alignment vertical="top" wrapText="1"/>
    </xf>
    <xf numFmtId="0" fontId="17" fillId="2" borderId="14" xfId="1" applyFont="1" applyFill="1" applyBorder="1" applyAlignment="1" applyProtection="1">
      <alignment vertical="top" wrapText="1"/>
    </xf>
    <xf numFmtId="0" fontId="17" fillId="2" borderId="17" xfId="1" applyFont="1" applyFill="1" applyBorder="1" applyAlignment="1" applyProtection="1">
      <alignment vertical="top" wrapText="1"/>
    </xf>
    <xf numFmtId="0" fontId="17" fillId="2" borderId="20" xfId="1" applyFont="1" applyFill="1" applyBorder="1" applyAlignment="1" applyProtection="1">
      <alignment vertical="top" wrapText="1"/>
    </xf>
    <xf numFmtId="0" fontId="17" fillId="2" borderId="16" xfId="1" applyFont="1" applyFill="1" applyBorder="1" applyAlignment="1" applyProtection="1">
      <alignment vertical="top" wrapText="1"/>
    </xf>
    <xf numFmtId="0" fontId="17" fillId="2" borderId="59" xfId="1" applyFont="1" applyFill="1" applyBorder="1" applyAlignment="1" applyProtection="1">
      <alignment vertical="top" wrapText="1"/>
    </xf>
    <xf numFmtId="0" fontId="0" fillId="2" borderId="59" xfId="1" applyFont="1" applyFill="1" applyBorder="1" applyAlignment="1" applyProtection="1"/>
    <xf numFmtId="0" fontId="1" fillId="3" borderId="1" xfId="1" applyFont="1" applyFill="1" applyBorder="1" applyAlignment="1" applyProtection="1">
      <alignment vertical="top" wrapText="1"/>
    </xf>
    <xf numFmtId="0" fontId="3" fillId="3" borderId="25" xfId="1" applyBorder="1" applyAlignment="1" applyProtection="1">
      <alignment vertical="top" wrapText="1"/>
    </xf>
    <xf numFmtId="0" fontId="1" fillId="3" borderId="13" xfId="1" applyFont="1" applyFill="1" applyBorder="1" applyAlignment="1" applyProtection="1">
      <alignment vertical="top" wrapText="1"/>
    </xf>
    <xf numFmtId="165" fontId="1" fillId="3" borderId="25" xfId="1" applyNumberFormat="1" applyFont="1" applyFill="1" applyBorder="1" applyAlignment="1" applyProtection="1">
      <alignment horizontal="center" vertical="top" wrapText="1"/>
    </xf>
    <xf numFmtId="165" fontId="1" fillId="3" borderId="1" xfId="1" applyNumberFormat="1" applyFont="1" applyFill="1" applyBorder="1" applyAlignment="1" applyProtection="1">
      <alignment horizontal="center" vertical="top" wrapText="1"/>
    </xf>
    <xf numFmtId="1" fontId="10" fillId="0" borderId="27" xfId="0" applyNumberFormat="1" applyFont="1" applyBorder="1" applyAlignment="1">
      <alignment horizontal="center" vertical="top" wrapText="1"/>
    </xf>
    <xf numFmtId="0" fontId="1" fillId="3" borderId="1" xfId="1" applyFont="1" applyFill="1" applyBorder="1" applyAlignment="1" applyProtection="1">
      <alignment horizontal="right" vertical="top" wrapText="1"/>
    </xf>
    <xf numFmtId="0" fontId="3" fillId="3" borderId="1" xfId="1" applyAlignment="1" applyProtection="1">
      <alignment horizontal="left" vertical="top" wrapText="1"/>
    </xf>
    <xf numFmtId="0" fontId="1" fillId="3" borderId="21" xfId="1" applyFont="1" applyFill="1" applyBorder="1" applyAlignment="1" applyProtection="1">
      <alignment vertical="top" wrapText="1"/>
    </xf>
    <xf numFmtId="0" fontId="1" fillId="3" borderId="8" xfId="1" applyFont="1" applyFill="1" applyBorder="1" applyAlignment="1" applyProtection="1">
      <alignment horizontal="right" vertical="top" wrapText="1"/>
    </xf>
    <xf numFmtId="0" fontId="3" fillId="3" borderId="22" xfId="1" applyBorder="1" applyAlignment="1" applyProtection="1">
      <alignment horizontal="left" vertical="top" wrapText="1"/>
    </xf>
    <xf numFmtId="0" fontId="1" fillId="3" borderId="22" xfId="1" applyFont="1" applyFill="1" applyBorder="1" applyAlignment="1" applyProtection="1">
      <alignment vertical="top" wrapText="1"/>
    </xf>
    <xf numFmtId="0" fontId="1" fillId="3" borderId="25" xfId="1" applyFont="1" applyFill="1" applyBorder="1" applyAlignment="1" applyProtection="1">
      <alignment horizontal="right" vertical="top" wrapText="1"/>
    </xf>
    <xf numFmtId="0" fontId="10" fillId="0" borderId="54" xfId="0" applyFont="1" applyBorder="1" applyAlignment="1"/>
    <xf numFmtId="0" fontId="3" fillId="3" borderId="27" xfId="1" applyFont="1" applyBorder="1" applyAlignment="1" applyProtection="1">
      <alignment vertical="top" wrapText="1"/>
    </xf>
    <xf numFmtId="0" fontId="1" fillId="3" borderId="27" xfId="1" applyFont="1" applyFill="1" applyBorder="1" applyAlignment="1" applyProtection="1">
      <alignment vertical="top" wrapText="1"/>
    </xf>
    <xf numFmtId="0" fontId="1" fillId="3" borderId="21" xfId="1" applyFont="1" applyFill="1" applyBorder="1" applyAlignment="1" applyProtection="1">
      <alignment vertical="top" wrapText="1"/>
    </xf>
    <xf numFmtId="0" fontId="1" fillId="3" borderId="26" xfId="1" applyFont="1" applyFill="1" applyBorder="1" applyAlignment="1" applyProtection="1">
      <alignment horizontal="right" vertical="top" wrapText="1"/>
    </xf>
    <xf numFmtId="0" fontId="1" fillId="3" borderId="1" xfId="1" applyFont="1" applyFill="1" applyBorder="1" applyAlignment="1" applyProtection="1">
      <alignment vertical="top" wrapText="1"/>
    </xf>
    <xf numFmtId="0" fontId="10" fillId="0" borderId="55" xfId="0" applyFont="1" applyBorder="1" applyAlignment="1"/>
    <xf numFmtId="0" fontId="3" fillId="3" borderId="19" xfId="1" applyBorder="1" applyAlignment="1" applyProtection="1">
      <alignment vertical="top" wrapText="1"/>
    </xf>
    <xf numFmtId="0" fontId="1" fillId="3" borderId="19" xfId="1" applyFont="1" applyFill="1" applyBorder="1" applyAlignment="1" applyProtection="1">
      <alignment vertical="top" wrapText="1"/>
    </xf>
    <xf numFmtId="0" fontId="1" fillId="3" borderId="14" xfId="1" applyFont="1" applyFill="1" applyBorder="1" applyAlignment="1" applyProtection="1">
      <alignment horizontal="right" vertical="top" wrapText="1"/>
    </xf>
    <xf numFmtId="0" fontId="3" fillId="3" borderId="17" xfId="1" applyBorder="1" applyAlignment="1" applyProtection="1">
      <alignment horizontal="left" vertical="top" wrapText="1"/>
    </xf>
    <xf numFmtId="0" fontId="1" fillId="3" borderId="17" xfId="1" applyFont="1" applyFill="1" applyBorder="1" applyAlignment="1" applyProtection="1">
      <alignment vertical="top" wrapText="1"/>
    </xf>
    <xf numFmtId="0" fontId="10" fillId="0" borderId="20" xfId="0" applyFont="1" applyBorder="1" applyAlignment="1"/>
    <xf numFmtId="0" fontId="18" fillId="0" borderId="0" xfId="0" applyFont="1" applyAlignment="1">
      <alignment horizontal="center" vertical="center" wrapText="1"/>
    </xf>
    <xf numFmtId="0" fontId="7" fillId="0" borderId="2" xfId="0" applyFont="1" applyBorder="1" applyAlignment="1"/>
    <xf numFmtId="0" fontId="6" fillId="0" borderId="2" xfId="0" applyFont="1" applyBorder="1" applyAlignment="1"/>
    <xf numFmtId="167" fontId="6" fillId="0" borderId="2" xfId="0" applyNumberFormat="1" applyFont="1" applyBorder="1" applyAlignment="1"/>
    <xf numFmtId="0" fontId="6" fillId="2" borderId="6" xfId="1" applyFont="1" applyFill="1" applyBorder="1" applyAlignment="1" applyProtection="1">
      <alignment horizontal="center" wrapText="1"/>
    </xf>
    <xf numFmtId="0" fontId="5" fillId="2" borderId="6" xfId="1" applyFont="1" applyFill="1" applyBorder="1" applyAlignment="1" applyProtection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0" xfId="1" applyFont="1" applyFill="1" applyBorder="1" applyAlignment="1" applyProtection="1">
      <alignment wrapText="1"/>
    </xf>
    <xf numFmtId="0" fontId="5" fillId="2" borderId="0" xfId="1" applyFont="1" applyFill="1" applyBorder="1" applyAlignment="1" applyProtection="1">
      <alignment horizontal="center" wrapText="1"/>
    </xf>
    <xf numFmtId="0" fontId="7" fillId="2" borderId="61" xfId="1" applyFont="1" applyFill="1" applyBorder="1" applyAlignment="1" applyProtection="1">
      <alignment horizontal="center" wrapText="1"/>
    </xf>
    <xf numFmtId="0" fontId="7" fillId="2" borderId="62" xfId="1" applyFont="1" applyFill="1" applyBorder="1" applyAlignment="1" applyProtection="1">
      <alignment horizontal="center" wrapText="1"/>
    </xf>
    <xf numFmtId="0" fontId="7" fillId="2" borderId="63" xfId="1" applyFont="1" applyFill="1" applyBorder="1" applyAlignment="1" applyProtection="1">
      <alignment horizontal="center" wrapText="1"/>
    </xf>
    <xf numFmtId="0" fontId="7" fillId="2" borderId="0" xfId="1" applyFont="1" applyFill="1" applyBorder="1" applyAlignment="1" applyProtection="1">
      <alignment horizontal="center" wrapText="1"/>
    </xf>
    <xf numFmtId="0" fontId="6" fillId="0" borderId="49" xfId="0" applyFont="1" applyBorder="1" applyAlignment="1"/>
    <xf numFmtId="0" fontId="19" fillId="2" borderId="15" xfId="1" applyFont="1" applyFill="1" applyBorder="1" applyAlignment="1" applyProtection="1">
      <alignment wrapText="1"/>
    </xf>
    <xf numFmtId="0" fontId="6" fillId="2" borderId="15" xfId="1" applyFont="1" applyFill="1" applyBorder="1" applyAlignment="1" applyProtection="1">
      <alignment horizontal="center" wrapText="1"/>
    </xf>
    <xf numFmtId="0" fontId="6" fillId="2" borderId="64" xfId="1" applyFont="1" applyFill="1" applyBorder="1" applyAlignment="1" applyProtection="1">
      <alignment horizontal="center" vertical="center" wrapText="1"/>
    </xf>
    <xf numFmtId="0" fontId="6" fillId="2" borderId="20" xfId="1" applyFont="1" applyFill="1" applyBorder="1" applyAlignment="1" applyProtection="1">
      <alignment horizontal="center" wrapText="1"/>
    </xf>
    <xf numFmtId="0" fontId="6" fillId="2" borderId="58" xfId="1" applyFont="1" applyFill="1" applyBorder="1" applyAlignment="1" applyProtection="1"/>
    <xf numFmtId="0" fontId="6" fillId="2" borderId="15" xfId="1" applyFont="1" applyFill="1" applyBorder="1" applyAlignment="1" applyProtection="1">
      <alignment horizontal="center"/>
    </xf>
    <xf numFmtId="0" fontId="6" fillId="2" borderId="15" xfId="1" applyFont="1" applyFill="1" applyBorder="1" applyAlignment="1" applyProtection="1"/>
    <xf numFmtId="0" fontId="6" fillId="0" borderId="23" xfId="0" applyFont="1" applyBorder="1" applyAlignment="1"/>
    <xf numFmtId="0" fontId="6" fillId="0" borderId="35" xfId="0" applyFont="1" applyBorder="1" applyAlignment="1"/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/>
    <xf numFmtId="0" fontId="6" fillId="0" borderId="24" xfId="0" applyFont="1" applyBorder="1" applyAlignment="1"/>
    <xf numFmtId="0" fontId="3" fillId="3" borderId="1" xfId="1" applyAlignment="1" applyProtection="1">
      <alignment horizontal="left" vertical="top"/>
    </xf>
    <xf numFmtId="0" fontId="3" fillId="3" borderId="1" xfId="1" applyFont="1" applyAlignment="1" applyProtection="1"/>
    <xf numFmtId="0" fontId="1" fillId="3" borderId="1" xfId="1" applyFont="1" applyFill="1" applyBorder="1" applyAlignment="1" applyProtection="1">
      <alignment horizontal="center"/>
    </xf>
    <xf numFmtId="165" fontId="1" fillId="3" borderId="1" xfId="1" applyNumberFormat="1" applyFont="1" applyFill="1" applyBorder="1" applyAlignment="1" applyProtection="1">
      <alignment horizontal="center"/>
    </xf>
    <xf numFmtId="0" fontId="6" fillId="0" borderId="26" xfId="0" applyFont="1" applyBorder="1" applyAlignment="1"/>
    <xf numFmtId="0" fontId="3" fillId="3" borderId="1" xfId="1" applyAlignment="1" applyProtection="1">
      <alignment horizontal="center"/>
    </xf>
    <xf numFmtId="166" fontId="3" fillId="3" borderId="1" xfId="1" applyNumberFormat="1" applyAlignment="1" applyProtection="1">
      <alignment horizontal="center"/>
    </xf>
    <xf numFmtId="2" fontId="3" fillId="3" borderId="1" xfId="1" applyNumberFormat="1" applyAlignment="1" applyProtection="1">
      <alignment horizontal="center"/>
    </xf>
    <xf numFmtId="0" fontId="0" fillId="0" borderId="0" xfId="0" applyFont="1" applyAlignment="1"/>
    <xf numFmtId="0" fontId="2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center" vertical="top" wrapText="1"/>
    </xf>
    <xf numFmtId="0" fontId="0" fillId="0" borderId="49" xfId="0" applyBorder="1" applyAlignment="1">
      <alignment vertical="top" wrapText="1"/>
    </xf>
    <xf numFmtId="0" fontId="0" fillId="2" borderId="65" xfId="0" applyFill="1" applyBorder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1" fillId="2" borderId="49" xfId="0" applyFont="1" applyFill="1" applyBorder="1" applyAlignment="1">
      <alignment horizontal="right" vertical="top"/>
    </xf>
    <xf numFmtId="0" fontId="0" fillId="0" borderId="0" xfId="0" applyFont="1" applyBorder="1" applyAlignment="1" applyProtection="1">
      <alignment horizontal="left" vertical="top"/>
      <protection locked="0"/>
    </xf>
    <xf numFmtId="0" fontId="21" fillId="2" borderId="0" xfId="0" applyFont="1" applyFill="1" applyBorder="1" applyAlignment="1">
      <alignment horizontal="right" wrapText="1"/>
    </xf>
    <xf numFmtId="168" fontId="0" fillId="0" borderId="0" xfId="0" applyNumberFormat="1" applyFont="1" applyBorder="1" applyAlignment="1" applyProtection="1">
      <alignment wrapText="1"/>
      <protection locked="0"/>
    </xf>
    <xf numFmtId="0" fontId="0" fillId="0" borderId="0" xfId="0" applyFont="1" applyBorder="1" applyAlignment="1" applyProtection="1">
      <alignment horizontal="left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/>
    </xf>
    <xf numFmtId="0" fontId="2" fillId="0" borderId="66" xfId="0" applyFont="1" applyBorder="1" applyAlignment="1">
      <alignment horizontal="center" vertical="center" wrapText="1"/>
    </xf>
    <xf numFmtId="0" fontId="0" fillId="2" borderId="49" xfId="0" applyFill="1" applyBorder="1" applyAlignment="1"/>
    <xf numFmtId="0" fontId="23" fillId="2" borderId="0" xfId="0" applyFont="1" applyFill="1" applyBorder="1" applyAlignment="1">
      <alignment horizontal="left" vertical="center" wrapText="1"/>
    </xf>
    <xf numFmtId="0" fontId="0" fillId="2" borderId="0" xfId="0" applyFill="1" applyAlignment="1"/>
    <xf numFmtId="0" fontId="2" fillId="0" borderId="0" xfId="0" applyFont="1" applyBorder="1" applyAlignment="1">
      <alignment horizontal="left" vertical="center"/>
    </xf>
    <xf numFmtId="0" fontId="0" fillId="0" borderId="0" xfId="0" applyAlignment="1" applyProtection="1">
      <protection locked="0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21" fillId="2" borderId="0" xfId="0" applyFont="1" applyFill="1" applyAlignment="1">
      <alignment horizontal="right" vertical="top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3" xfId="0" applyFont="1" applyBorder="1" applyAlignment="1" applyProtection="1">
      <alignment horizontal="left" vertical="center"/>
      <protection locked="0"/>
    </xf>
    <xf numFmtId="0" fontId="21" fillId="2" borderId="0" xfId="0" applyFont="1" applyFill="1" applyAlignment="1"/>
    <xf numFmtId="0" fontId="0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right" vertical="top"/>
    </xf>
    <xf numFmtId="0" fontId="21" fillId="2" borderId="0" xfId="0" applyFont="1" applyFill="1" applyBorder="1" applyAlignment="1">
      <alignment horizontal="left" wrapText="1"/>
    </xf>
    <xf numFmtId="0" fontId="0" fillId="0" borderId="0" xfId="0" applyFont="1" applyBorder="1" applyAlignment="1" applyProtection="1">
      <alignment vertical="center"/>
      <protection locked="0"/>
    </xf>
    <xf numFmtId="0" fontId="0" fillId="2" borderId="52" xfId="0" applyFill="1" applyBorder="1" applyAlignment="1">
      <alignment horizontal="center" vertical="center" wrapText="1"/>
    </xf>
    <xf numFmtId="0" fontId="21" fillId="2" borderId="0" xfId="1" applyFont="1" applyFill="1" applyBorder="1" applyAlignment="1" applyProtection="1">
      <alignment horizontal="right" vertical="top"/>
    </xf>
    <xf numFmtId="0" fontId="2" fillId="2" borderId="0" xfId="1" applyFont="1" applyFill="1" applyBorder="1" applyAlignment="1" applyProtection="1">
      <alignment vertical="top"/>
    </xf>
    <xf numFmtId="0" fontId="2" fillId="2" borderId="0" xfId="1" applyFont="1" applyFill="1" applyBorder="1" applyAlignment="1" applyProtection="1"/>
    <xf numFmtId="0" fontId="0" fillId="0" borderId="0" xfId="0" applyFont="1" applyBorder="1" applyAlignment="1"/>
    <xf numFmtId="0" fontId="2" fillId="2" borderId="0" xfId="1" applyFont="1" applyFill="1" applyBorder="1" applyAlignment="1" applyProtection="1">
      <alignment horizontal="left" wrapText="1"/>
    </xf>
    <xf numFmtId="0" fontId="21" fillId="2" borderId="49" xfId="0" applyFont="1" applyFill="1" applyBorder="1" applyAlignment="1">
      <alignment horizontal="right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2" fillId="2" borderId="0" xfId="0" applyFont="1" applyFill="1" applyAlignment="1"/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>
      <alignment horizontal="left" vertical="top"/>
    </xf>
    <xf numFmtId="168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0" xfId="0" applyFont="1" applyFill="1" applyBorder="1" applyAlignment="1"/>
    <xf numFmtId="0" fontId="0" fillId="2" borderId="0" xfId="0" applyFill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2" borderId="0" xfId="0" applyFill="1" applyBorder="1" applyAlignment="1">
      <alignment horizontal="left" vertical="center" wrapText="1"/>
    </xf>
    <xf numFmtId="0" fontId="0" fillId="2" borderId="67" xfId="0" applyFill="1" applyBorder="1" applyAlignment="1">
      <alignment horizontal="center" vertical="center" wrapText="1"/>
    </xf>
    <xf numFmtId="0" fontId="4" fillId="0" borderId="0" xfId="0" applyFont="1" applyAlignment="1"/>
    <xf numFmtId="0" fontId="24" fillId="0" borderId="0" xfId="0" applyFont="1" applyAlignment="1"/>
    <xf numFmtId="0" fontId="2" fillId="2" borderId="68" xfId="0" applyFont="1" applyFill="1" applyBorder="1" applyAlignment="1"/>
    <xf numFmtId="0" fontId="2" fillId="2" borderId="30" xfId="0" applyFont="1" applyFill="1" applyBorder="1" applyAlignment="1">
      <alignment horizontal="center" vertical="top"/>
    </xf>
    <xf numFmtId="0" fontId="0" fillId="2" borderId="14" xfId="0" applyFill="1" applyBorder="1" applyAlignment="1"/>
    <xf numFmtId="0" fontId="0" fillId="2" borderId="17" xfId="0" applyFill="1" applyBorder="1" applyAlignment="1"/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25" fillId="0" borderId="0" xfId="0" applyFont="1" applyAlignment="1"/>
    <xf numFmtId="0" fontId="22" fillId="0" borderId="0" xfId="0" applyFont="1" applyAlignment="1"/>
    <xf numFmtId="169" fontId="0" fillId="0" borderId="0" xfId="0" applyNumberFormat="1" applyAlignment="1">
      <alignment horizontal="center" vertical="top"/>
    </xf>
    <xf numFmtId="0" fontId="26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49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6" fillId="0" borderId="52" xfId="0" applyFont="1" applyBorder="1" applyAlignment="1">
      <alignment horizontal="center" vertical="top"/>
    </xf>
    <xf numFmtId="0" fontId="6" fillId="0" borderId="2" xfId="0" applyFont="1" applyBorder="1" applyAlignment="1">
      <alignment vertical="top" wrapText="1"/>
    </xf>
    <xf numFmtId="0" fontId="5" fillId="0" borderId="59" xfId="0" applyFont="1" applyBorder="1" applyAlignment="1">
      <alignment vertical="top" wrapText="1"/>
    </xf>
    <xf numFmtId="0" fontId="10" fillId="0" borderId="70" xfId="0" applyFont="1" applyBorder="1" applyAlignment="1">
      <alignment horizontal="center" vertical="top" wrapText="1"/>
    </xf>
    <xf numFmtId="0" fontId="10" fillId="0" borderId="59" xfId="0" applyFont="1" applyBorder="1" applyAlignment="1">
      <alignment horizontal="center" vertical="top" wrapText="1"/>
    </xf>
    <xf numFmtId="0" fontId="10" fillId="0" borderId="67" xfId="0" applyFont="1" applyBorder="1" applyAlignment="1">
      <alignment horizontal="left" vertical="top" wrapText="1"/>
    </xf>
    <xf numFmtId="0" fontId="10" fillId="0" borderId="70" xfId="0" applyFont="1" applyBorder="1" applyAlignment="1">
      <alignment horizontal="left" vertical="top"/>
    </xf>
    <xf numFmtId="0" fontId="10" fillId="0" borderId="59" xfId="0" applyFont="1" applyBorder="1" applyAlignment="1">
      <alignment horizontal="center" vertical="top"/>
    </xf>
    <xf numFmtId="0" fontId="10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right" vertical="top" wrapText="1"/>
    </xf>
    <xf numFmtId="0" fontId="6" fillId="0" borderId="7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165" fontId="10" fillId="0" borderId="13" xfId="0" applyNumberFormat="1" applyFont="1" applyBorder="1" applyAlignment="1">
      <alignment vertical="top" wrapText="1"/>
    </xf>
    <xf numFmtId="0" fontId="10" fillId="0" borderId="57" xfId="0" applyFont="1" applyBorder="1" applyAlignment="1">
      <alignment vertical="top" wrapText="1"/>
    </xf>
    <xf numFmtId="0" fontId="10" fillId="0" borderId="55" xfId="0" applyFont="1" applyBorder="1" applyAlignment="1">
      <alignment vertical="top" wrapText="1"/>
    </xf>
    <xf numFmtId="165" fontId="10" fillId="0" borderId="26" xfId="0" applyNumberFormat="1" applyFont="1" applyBorder="1" applyAlignment="1">
      <alignment horizontal="center" vertical="top" wrapText="1"/>
    </xf>
    <xf numFmtId="165" fontId="10" fillId="0" borderId="27" xfId="0" applyNumberFormat="1" applyFont="1" applyBorder="1" applyAlignment="1">
      <alignment horizontal="center" vertical="top" wrapText="1"/>
    </xf>
    <xf numFmtId="165" fontId="10" fillId="0" borderId="26" xfId="0" applyNumberFormat="1" applyFont="1" applyBorder="1" applyAlignment="1">
      <alignment vertical="top" wrapText="1"/>
    </xf>
    <xf numFmtId="165" fontId="10" fillId="0" borderId="21" xfId="0" applyNumberFormat="1" applyFont="1" applyBorder="1" applyAlignment="1">
      <alignment vertical="top" wrapText="1"/>
    </xf>
    <xf numFmtId="0" fontId="10" fillId="0" borderId="56" xfId="0" applyFont="1" applyBorder="1" applyAlignment="1">
      <alignment vertical="top" wrapText="1"/>
    </xf>
    <xf numFmtId="165" fontId="10" fillId="0" borderId="27" xfId="0" applyNumberFormat="1" applyFont="1" applyBorder="1" applyAlignment="1">
      <alignment vertical="top" wrapText="1"/>
    </xf>
    <xf numFmtId="165" fontId="10" fillId="0" borderId="14" xfId="0" applyNumberFormat="1" applyFont="1" applyBorder="1" applyAlignment="1">
      <alignment horizontal="center" vertical="top" wrapText="1"/>
    </xf>
    <xf numFmtId="165" fontId="10" fillId="0" borderId="19" xfId="0" applyNumberFormat="1" applyFont="1" applyBorder="1" applyAlignment="1">
      <alignment horizontal="center" vertical="top" wrapText="1"/>
    </xf>
    <xf numFmtId="165" fontId="10" fillId="0" borderId="14" xfId="0" applyNumberFormat="1" applyFont="1" applyBorder="1" applyAlignment="1">
      <alignment vertical="top" wrapText="1"/>
    </xf>
    <xf numFmtId="165" fontId="10" fillId="0" borderId="40" xfId="0" applyNumberFormat="1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6" fillId="0" borderId="30" xfId="0" applyFont="1" applyBorder="1" applyAlignment="1"/>
    <xf numFmtId="0" fontId="6" fillId="0" borderId="30" xfId="0" applyFont="1" applyBorder="1" applyAlignment="1">
      <alignment vertical="top" wrapText="1"/>
    </xf>
    <xf numFmtId="0" fontId="26" fillId="0" borderId="2" xfId="0" applyFont="1" applyBorder="1" applyAlignment="1"/>
    <xf numFmtId="0" fontId="29" fillId="0" borderId="3" xfId="0" applyFont="1" applyBorder="1" applyAlignment="1"/>
    <xf numFmtId="0" fontId="5" fillId="0" borderId="6" xfId="0" applyFont="1" applyBorder="1" applyAlignment="1">
      <alignment horizontal="center" vertical="center" wrapText="1"/>
    </xf>
    <xf numFmtId="0" fontId="30" fillId="0" borderId="0" xfId="0" applyFont="1" applyAlignment="1"/>
    <xf numFmtId="0" fontId="29" fillId="0" borderId="49" xfId="0" applyFont="1" applyBorder="1" applyAlignment="1"/>
    <xf numFmtId="0" fontId="7" fillId="0" borderId="0" xfId="0" applyFont="1" applyBorder="1" applyAlignment="1">
      <alignment wrapText="1"/>
    </xf>
    <xf numFmtId="0" fontId="7" fillId="0" borderId="3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61" xfId="0" applyFont="1" applyBorder="1" applyAlignment="1">
      <alignment horizontal="center" wrapText="1"/>
    </xf>
    <xf numFmtId="0" fontId="29" fillId="0" borderId="49" xfId="0" applyFont="1" applyBorder="1" applyAlignment="1"/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14" fillId="0" borderId="59" xfId="0" applyFont="1" applyBorder="1" applyAlignment="1">
      <alignment horizontal="center" vertical="center" wrapText="1"/>
    </xf>
    <xf numFmtId="0" fontId="32" fillId="0" borderId="2" xfId="0" applyFont="1" applyBorder="1" applyAlignment="1"/>
    <xf numFmtId="0" fontId="14" fillId="0" borderId="7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/>
    </xf>
    <xf numFmtId="0" fontId="0" fillId="0" borderId="66" xfId="0" applyBorder="1" applyAlignment="1"/>
    <xf numFmtId="0" fontId="35" fillId="0" borderId="3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top" wrapText="1"/>
    </xf>
    <xf numFmtId="166" fontId="10" fillId="0" borderId="3" xfId="0" applyNumberFormat="1" applyFont="1" applyBorder="1" applyAlignment="1">
      <alignment horizontal="center" vertical="top"/>
    </xf>
    <xf numFmtId="0" fontId="36" fillId="0" borderId="0" xfId="0" applyFont="1" applyAlignment="1"/>
    <xf numFmtId="0" fontId="35" fillId="0" borderId="49" xfId="0" applyFont="1" applyBorder="1" applyAlignment="1"/>
    <xf numFmtId="0" fontId="10" fillId="0" borderId="0" xfId="0" applyFont="1" applyAlignment="1">
      <alignment wrapText="1"/>
    </xf>
    <xf numFmtId="0" fontId="10" fillId="0" borderId="3" xfId="0" applyFont="1" applyBorder="1" applyAlignment="1">
      <alignment horizontal="center" vertical="top"/>
    </xf>
    <xf numFmtId="0" fontId="10" fillId="0" borderId="3" xfId="0" applyFont="1" applyBorder="1" applyAlignment="1"/>
    <xf numFmtId="0" fontId="10" fillId="0" borderId="2" xfId="0" applyFont="1" applyBorder="1" applyAlignment="1"/>
    <xf numFmtId="0" fontId="10" fillId="0" borderId="2" xfId="0" applyFont="1" applyBorder="1" applyAlignment="1">
      <alignment vertical="top" wrapText="1"/>
    </xf>
    <xf numFmtId="0" fontId="36" fillId="0" borderId="2" xfId="0" applyFont="1" applyBorder="1" applyAlignment="1"/>
    <xf numFmtId="0" fontId="37" fillId="0" borderId="0" xfId="0" applyFont="1" applyAlignment="1">
      <alignment horizontal="right"/>
    </xf>
    <xf numFmtId="0" fontId="6" fillId="0" borderId="6" xfId="0" applyFont="1" applyBorder="1" applyAlignment="1">
      <alignment horizontal="center" wrapText="1"/>
    </xf>
    <xf numFmtId="0" fontId="5" fillId="0" borderId="48" xfId="0" applyFont="1" applyBorder="1" applyAlignment="1">
      <alignment horizontal="center" wrapText="1"/>
    </xf>
    <xf numFmtId="0" fontId="7" fillId="0" borderId="23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7" fillId="0" borderId="36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" fillId="0" borderId="2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0" fillId="0" borderId="69" xfId="0" applyBorder="1" applyAlignment="1"/>
    <xf numFmtId="0" fontId="10" fillId="0" borderId="0" xfId="0" applyFont="1" applyAlignment="1">
      <alignment vertical="top"/>
    </xf>
    <xf numFmtId="0" fontId="0" fillId="0" borderId="0" xfId="0" applyAlignment="1">
      <alignment vertical="top"/>
    </xf>
    <xf numFmtId="0" fontId="3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0" fillId="0" borderId="74" xfId="0" applyBorder="1" applyAlignment="1"/>
    <xf numFmtId="0" fontId="0" fillId="0" borderId="75" xfId="0" applyBorder="1" applyAlignment="1"/>
    <xf numFmtId="0" fontId="39" fillId="0" borderId="0" xfId="0" applyFont="1" applyAlignment="1"/>
    <xf numFmtId="0" fontId="3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9" fillId="0" borderId="0" xfId="0" applyFont="1" applyAlignment="1">
      <alignment horizontal="left" vertical="top"/>
    </xf>
    <xf numFmtId="2" fontId="39" fillId="0" borderId="0" xfId="0" applyNumberFormat="1" applyFont="1" applyAlignment="1"/>
    <xf numFmtId="0" fontId="39" fillId="0" borderId="0" xfId="0" applyFont="1" applyAlignment="1">
      <alignment vertical="top" wrapText="1"/>
    </xf>
    <xf numFmtId="166" fontId="39" fillId="0" borderId="0" xfId="0" applyNumberFormat="1" applyFont="1" applyAlignment="1"/>
    <xf numFmtId="170" fontId="39" fillId="0" borderId="0" xfId="0" applyNumberFormat="1" applyFont="1" applyAlignment="1"/>
    <xf numFmtId="170" fontId="0" fillId="0" borderId="0" xfId="0" applyNumberFormat="1" applyAlignment="1"/>
    <xf numFmtId="0" fontId="40" fillId="0" borderId="0" xfId="0" applyFont="1" applyAlignment="1"/>
    <xf numFmtId="0" fontId="5" fillId="0" borderId="0" xfId="0" applyFont="1" applyBorder="1" applyAlignment="1">
      <alignment horizontal="left" wrapText="1"/>
    </xf>
    <xf numFmtId="0" fontId="6" fillId="0" borderId="31" xfId="0" applyFont="1" applyBorder="1" applyAlignment="1">
      <alignment horizontal="center" wrapText="1"/>
    </xf>
    <xf numFmtId="0" fontId="13" fillId="0" borderId="32" xfId="0" applyFont="1" applyBorder="1" applyAlignment="1">
      <alignment horizontal="center" vertical="top" wrapText="1"/>
    </xf>
    <xf numFmtId="0" fontId="7" fillId="2" borderId="7" xfId="1" applyFont="1" applyFill="1" applyBorder="1" applyAlignment="1" applyProtection="1">
      <alignment horizontal="center" vertical="center"/>
    </xf>
    <xf numFmtId="0" fontId="7" fillId="2" borderId="10" xfId="1" applyFont="1" applyFill="1" applyBorder="1" applyAlignment="1" applyProtection="1">
      <alignment horizontal="center" vertical="center"/>
    </xf>
    <xf numFmtId="0" fontId="7" fillId="2" borderId="51" xfId="1" applyFont="1" applyFill="1" applyBorder="1" applyAlignment="1" applyProtection="1">
      <alignment horizontal="center" vertical="center" textRotation="90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4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0" xfId="0" applyFont="1" applyBorder="1" applyAlignment="1">
      <alignment horizontal="right"/>
    </xf>
    <xf numFmtId="167" fontId="6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 vertical="center" wrapText="1"/>
    </xf>
    <xf numFmtId="0" fontId="13" fillId="2" borderId="60" xfId="1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9" xfId="0" applyFont="1" applyFill="1" applyBorder="1" applyAlignment="1">
      <alignment horizontal="center" wrapText="1"/>
    </xf>
    <xf numFmtId="0" fontId="7" fillId="0" borderId="52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top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 wrapText="1"/>
    </xf>
    <xf numFmtId="0" fontId="5" fillId="0" borderId="7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textRotation="90"/>
    </xf>
    <xf numFmtId="0" fontId="7" fillId="0" borderId="6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8F8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workbookViewId="0">
      <selection activeCell="G7" sqref="G7"/>
    </sheetView>
  </sheetViews>
  <sheetFormatPr defaultRowHeight="14.25"/>
  <cols>
    <col min="1" max="1" width="2.25" customWidth="1"/>
  </cols>
  <sheetData>
    <row r="1" spans="1:47" ht="33.7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tr">
        <f>MATERIALS!$C1&amp;" Lyr 1"</f>
        <v>Mat. ID Lyr 1</v>
      </c>
      <c r="L1" s="2" t="s">
        <v>9</v>
      </c>
      <c r="M1" s="2" t="str">
        <f>MATERIALS!$D1&amp;" Lyr 1"</f>
        <v>Mat. Name Lyr 1</v>
      </c>
      <c r="N1" s="2" t="s">
        <v>10</v>
      </c>
      <c r="O1" s="2" t="str">
        <f>MATERIALS!$C1&amp;" Lyr 2"</f>
        <v>Mat. ID Lyr 2</v>
      </c>
      <c r="P1" s="2" t="s">
        <v>11</v>
      </c>
      <c r="Q1" s="2" t="str">
        <f>MATERIALS!$D1&amp;" Lyr 2"</f>
        <v>Mat. Name Lyr 2</v>
      </c>
      <c r="R1" s="2" t="s">
        <v>12</v>
      </c>
      <c r="S1" s="2" t="str">
        <f>MATERIALS!$C1&amp;" Lyr 3"</f>
        <v>Mat. ID Lyr 3</v>
      </c>
      <c r="T1" s="2" t="s">
        <v>13</v>
      </c>
      <c r="U1" s="2" t="str">
        <f>MATERIALS!$D1&amp;" Lyr 3"</f>
        <v>Mat. Name Lyr 3</v>
      </c>
      <c r="V1" s="2" t="s">
        <v>14</v>
      </c>
      <c r="W1" s="2" t="str">
        <f>MATERIALS!$C1&amp;" Lyr 4"</f>
        <v>Mat. ID Lyr 4</v>
      </c>
      <c r="X1" s="2" t="s">
        <v>15</v>
      </c>
      <c r="Y1" s="2" t="str">
        <f>MATERIALS!$D1&amp;" Lyr 4"</f>
        <v>Mat. Name Lyr 4</v>
      </c>
      <c r="Z1" s="2" t="s">
        <v>16</v>
      </c>
      <c r="AA1" s="2" t="str">
        <f>MATERIALS!$C1&amp;" Lyr 5"</f>
        <v>Mat. ID Lyr 5</v>
      </c>
      <c r="AB1" s="2" t="s">
        <v>17</v>
      </c>
      <c r="AC1" s="2" t="str">
        <f>MATERIALS!$D1&amp;" Lyr 5"</f>
        <v>Mat. Name Lyr 5</v>
      </c>
      <c r="AD1" s="2" t="s">
        <v>18</v>
      </c>
      <c r="AE1" s="2" t="s">
        <v>19</v>
      </c>
      <c r="AG1" s="2" t="s">
        <v>20</v>
      </c>
    </row>
    <row r="2" spans="1:47" ht="16.5">
      <c r="B2" s="3" t="s">
        <v>21</v>
      </c>
      <c r="C2" s="3"/>
      <c r="D2" s="3"/>
      <c r="E2" s="3"/>
      <c r="F2" s="4"/>
      <c r="G2" s="5"/>
      <c r="H2" s="5"/>
      <c r="I2" s="5"/>
      <c r="J2" s="4"/>
      <c r="K2" s="4"/>
      <c r="L2" s="4"/>
      <c r="M2" s="4"/>
      <c r="N2" s="4"/>
      <c r="O2" s="4"/>
      <c r="P2" s="4"/>
      <c r="Q2" s="6"/>
      <c r="R2" s="6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7"/>
      <c r="AE2" s="8"/>
    </row>
    <row r="3" spans="1:47" ht="16.5">
      <c r="A3" s="9"/>
      <c r="B3" s="10" t="s">
        <v>22</v>
      </c>
      <c r="C3" s="10"/>
      <c r="D3" s="10"/>
      <c r="E3" s="10"/>
      <c r="F3" s="11"/>
      <c r="G3" s="12"/>
      <c r="H3" s="12"/>
      <c r="I3" s="10" t="s">
        <v>23</v>
      </c>
      <c r="J3" s="10"/>
      <c r="K3" s="13" t="s">
        <v>24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4"/>
    </row>
    <row r="4" spans="1:47" ht="38.25">
      <c r="A4" s="9"/>
      <c r="B4" s="15" t="s">
        <v>25</v>
      </c>
      <c r="C4" s="16" t="s">
        <v>26</v>
      </c>
      <c r="D4" s="17" t="s">
        <v>2</v>
      </c>
      <c r="E4" s="18" t="s">
        <v>3</v>
      </c>
      <c r="F4" s="19" t="s">
        <v>25</v>
      </c>
      <c r="G4" s="20" t="s">
        <v>27</v>
      </c>
      <c r="H4" s="21"/>
      <c r="I4" s="22" t="s">
        <v>28</v>
      </c>
      <c r="J4" s="23" t="s">
        <v>29</v>
      </c>
      <c r="K4" s="24" t="s">
        <v>30</v>
      </c>
      <c r="L4" s="24"/>
      <c r="M4" s="24"/>
      <c r="N4" s="24"/>
      <c r="O4" s="24" t="s">
        <v>31</v>
      </c>
      <c r="P4" s="24"/>
      <c r="Q4" s="24"/>
      <c r="R4" s="24"/>
      <c r="S4" s="24" t="s">
        <v>32</v>
      </c>
      <c r="T4" s="24"/>
      <c r="U4" s="24"/>
      <c r="V4" s="24"/>
      <c r="W4" s="24" t="s">
        <v>33</v>
      </c>
      <c r="X4" s="24"/>
      <c r="Y4" s="24"/>
      <c r="Z4" s="24"/>
      <c r="AA4" s="24" t="s">
        <v>34</v>
      </c>
      <c r="AB4" s="24"/>
      <c r="AC4" s="24"/>
      <c r="AD4" s="24"/>
      <c r="AE4" s="25" t="s">
        <v>35</v>
      </c>
    </row>
    <row r="5" spans="1:47" ht="24">
      <c r="A5" s="9"/>
      <c r="B5" s="26"/>
      <c r="C5" s="27"/>
      <c r="D5" s="28"/>
      <c r="E5" s="29"/>
      <c r="F5" s="30"/>
      <c r="G5" s="31"/>
      <c r="H5" s="32" t="s">
        <v>36</v>
      </c>
      <c r="I5" s="33" t="s">
        <v>37</v>
      </c>
      <c r="J5" s="34" t="s">
        <v>38</v>
      </c>
      <c r="K5" s="35" t="s">
        <v>39</v>
      </c>
      <c r="L5" s="36" t="s">
        <v>40</v>
      </c>
      <c r="M5" s="37" t="s">
        <v>41</v>
      </c>
      <c r="N5" s="38" t="s">
        <v>36</v>
      </c>
      <c r="O5" s="39" t="str">
        <f>$K5</f>
        <v># / ID</v>
      </c>
      <c r="P5" s="36" t="str">
        <f>$L5</f>
        <v>ID</v>
      </c>
      <c r="Q5" s="37" t="str">
        <f>$M5</f>
        <v>Material Name</v>
      </c>
      <c r="R5" s="38" t="s">
        <v>36</v>
      </c>
      <c r="S5" s="39" t="str">
        <f>$K5</f>
        <v># / ID</v>
      </c>
      <c r="T5" s="36" t="str">
        <f>$L5</f>
        <v>ID</v>
      </c>
      <c r="U5" s="37" t="str">
        <f>$M5</f>
        <v>Material Name</v>
      </c>
      <c r="V5" s="38" t="s">
        <v>36</v>
      </c>
      <c r="W5" s="39" t="str">
        <f>$K5</f>
        <v># / ID</v>
      </c>
      <c r="X5" s="36" t="str">
        <f>$L5</f>
        <v>ID</v>
      </c>
      <c r="Y5" s="37" t="str">
        <f>$M5</f>
        <v>Material Name</v>
      </c>
      <c r="Z5" s="38" t="s">
        <v>36</v>
      </c>
      <c r="AA5" s="39" t="str">
        <f>$K5</f>
        <v># / ID</v>
      </c>
      <c r="AB5" s="36" t="str">
        <f>$L5</f>
        <v>ID</v>
      </c>
      <c r="AC5" s="37" t="str">
        <f>$M5</f>
        <v>Material Name</v>
      </c>
      <c r="AD5" s="38" t="s">
        <v>36</v>
      </c>
      <c r="AE5" s="40"/>
      <c r="AO5" s="1" t="s">
        <v>42</v>
      </c>
      <c r="AQ5" s="1" t="s">
        <v>25</v>
      </c>
      <c r="AT5" s="1" t="s">
        <v>43</v>
      </c>
    </row>
    <row r="6" spans="1:47">
      <c r="A6" s="9"/>
      <c r="B6" s="41"/>
      <c r="C6" s="41"/>
      <c r="D6" s="41"/>
      <c r="E6" s="42"/>
      <c r="F6" s="43"/>
      <c r="G6" s="44"/>
      <c r="H6" s="45"/>
      <c r="I6" s="46"/>
      <c r="J6" s="47"/>
      <c r="K6" s="48"/>
      <c r="L6" s="49"/>
      <c r="M6" s="44"/>
      <c r="N6" s="45"/>
      <c r="O6" s="50"/>
      <c r="P6" s="51"/>
      <c r="Q6" s="41"/>
      <c r="R6" s="42"/>
      <c r="S6" s="48"/>
      <c r="T6" s="49"/>
      <c r="U6" s="44"/>
      <c r="V6" s="45"/>
      <c r="W6" s="50"/>
      <c r="X6" s="51"/>
      <c r="Y6" s="41"/>
      <c r="Z6" s="42"/>
      <c r="AA6" s="48"/>
      <c r="AB6" s="49"/>
      <c r="AC6" s="44"/>
      <c r="AD6" s="45"/>
      <c r="AE6" s="52"/>
      <c r="AO6" s="1" t="str">
        <f>" "</f>
        <v xml:space="preserve"> </v>
      </c>
    </row>
    <row r="7" spans="1:47" ht="84">
      <c r="A7" s="9"/>
      <c r="B7" s="53" t="str">
        <f>IF(C7=AO7,"EW"&amp;1)</f>
        <v>EW1</v>
      </c>
      <c r="C7" s="54" t="s">
        <v>44</v>
      </c>
      <c r="D7" s="54" t="s">
        <v>45</v>
      </c>
      <c r="E7" s="55"/>
      <c r="F7" s="56">
        <v>5</v>
      </c>
      <c r="G7" s="57" t="str">
        <f>IF($F7="","",VLOOKUP($F7,'Templ-Cons'!B$6:C$55,2,0))</f>
        <v>Composite Concrete/Foam/Concrete With Plastic Connectors</v>
      </c>
      <c r="H7" s="58" t="s">
        <v>46</v>
      </c>
      <c r="I7" s="59">
        <f t="shared" ref="I7:I38" si="0">IF(D7="","",1/(J7+0.03+0.12))</f>
        <v>0.49079867563267826</v>
      </c>
      <c r="J7" s="60">
        <f>IF(D7="","",IF(G7="",VLOOKUP(K7,MatlsData,6,0)+VLOOKUP(O7,MatlsData,6,0)+VLOOKUP(S7,MatlsData,6,0)+VLOOKUP(W7,MatlsData,6,0)+VLOOKUP(AA7,MatlsData,6,0),VLOOKUP(G7,'Templ-Cons'!C6:E75,3,0)))</f>
        <v>1.88749531049757</v>
      </c>
      <c r="K7" s="56">
        <v>5</v>
      </c>
      <c r="L7" s="57" t="str">
        <f>IF($D7="","",IF(AND($F7="",K7=""),"← Enter #",IF(NOT($F7=""),IF(VLOOKUP($F7,'Templ-Cons'!$B$6:$T$107,8,0)="","",VLOOKUP($F7,'Templ-Cons'!$B$6:$T$107,8,0)),"")))</f>
        <v>C05a</v>
      </c>
      <c r="M7" s="57" t="str">
        <f>IF(OR($D7="",L7="← Enter #"),"",IF($G7="",VLOOKUP(K7,MatlsData,2,0),VLOOKUP($G7,'Templ-Cons'!$C$6:$T$107,8,0)))</f>
        <v>Composite Concrete/Foam/Concrete With Plastic Connectors #3</v>
      </c>
      <c r="N7" s="58" t="s">
        <v>46</v>
      </c>
      <c r="O7" s="61">
        <v>0</v>
      </c>
      <c r="P7" s="62" t="str">
        <f>IF($D7="","",IF(AND($F7="",O7=""),"← Enter #",IF(NOT($F7=""),IF(VLOOKUP($F7,'Templ-Cons'!$B$6:$T$107,10,0)="","",VLOOKUP($F7,'Templ-Cons'!$B$6:$T$107,10,0)),"")))</f>
        <v>C05b</v>
      </c>
      <c r="Q7" s="62" t="str">
        <f>IF(OR($D7="",P7="← Enter #"),"",IF($G7="",VLOOKUP(O7,MatlsData,2,0),VLOOKUP($G7,'Templ-Cons'!$C$6:$T$107,10,0)))</f>
        <v>Composite Concrete/Foam/Concrete With Plastic Connectors #2</v>
      </c>
      <c r="R7" s="63" t="s">
        <v>46</v>
      </c>
      <c r="S7" s="56">
        <v>0</v>
      </c>
      <c r="T7" s="57" t="str">
        <f>IF($D7="","",IF(AND($F7="",S7=""),"← Enter #",IF(NOT($F7=""),IF(VLOOKUP($F7,'Templ-Cons'!$B$6:$T$107,12,0)="","",VLOOKUP($F7,'Templ-Cons'!$B$6:$T$107,12,0)),"")))</f>
        <v>C05c</v>
      </c>
      <c r="U7" s="57" t="str">
        <f>IF(OR($D7="",T7="← Enter #"),"",IF($G7="",VLOOKUP(S7,MatlsData,2,0),VLOOKUP($G7,'Templ-Cons'!$C$6:$T$107,12,0)))</f>
        <v>Composite Concrete/Foam/Concrete With Plastic Connectors #1</v>
      </c>
      <c r="V7" s="58" t="s">
        <v>46</v>
      </c>
      <c r="W7" s="61">
        <v>0</v>
      </c>
      <c r="X7" s="62" t="str">
        <f>IF($D7="","",IF(AND($F7="",W7=""),"← Enter #",IF(NOT($F7=""),IF(VLOOKUP($F7,'Templ-Cons'!$B$6:$T$107,14,0)="","",VLOOKUP($F7,'Templ-Cons'!$B$6:$T$107,14,0)),"")))</f>
        <v/>
      </c>
      <c r="Y7" s="62">
        <f>IF(OR($D7="",X7="← Enter #"),"",IF($G7="",VLOOKUP(W7,MatlsData,2,0),VLOOKUP($G7,'Templ-Cons'!$C$6:$T$107,14,0)))</f>
        <v>0</v>
      </c>
      <c r="Z7" s="63" t="s">
        <v>46</v>
      </c>
      <c r="AA7" s="56">
        <v>0</v>
      </c>
      <c r="AB7" s="57" t="str">
        <f>IF($D7="","",IF(AND($F7="",AA7=""),"← Enter #",IF(NOT($F7=""),IF(VLOOKUP($F7,'Templ-Cons'!$B$6:$T$107,16,0)="","",VLOOKUP($F7,'Templ-Cons'!$B$6:$T$107,16,0)),"")))</f>
        <v/>
      </c>
      <c r="AC7" s="57">
        <f>IF(OR($D7="",AB7="← Enter #"),"",IF($G7="",VLOOKUP(AA7,MatlsData,2,0),VLOOKUP($G7,'Templ-Cons'!$C$6:$T$107,16,0)))</f>
        <v>0</v>
      </c>
      <c r="AD7" s="58" t="s">
        <v>46</v>
      </c>
      <c r="AE7" s="64"/>
      <c r="AG7" s="65" t="str">
        <f t="shared" ref="AG7:AG38" si="1">VLOOKUP(C7,AO$7:AU$15,7,0)</f>
        <v>Ext. Wall Const.</v>
      </c>
      <c r="AO7" s="1" t="s">
        <v>44</v>
      </c>
      <c r="AP7" s="1" t="s">
        <v>47</v>
      </c>
      <c r="AQ7" s="1">
        <f t="shared" ref="AQ7:AQ15" si="2">COUNTIF($C$7:$C$56,"="&amp;AO7)</f>
        <v>4</v>
      </c>
      <c r="AT7" s="1" t="s">
        <v>46</v>
      </c>
      <c r="AU7" s="1" t="s">
        <v>48</v>
      </c>
    </row>
    <row r="8" spans="1:47" ht="48">
      <c r="A8" s="9"/>
      <c r="B8" s="53" t="str">
        <f>IF(C8=" ","",VLOOKUP(C8,AO$7:AP$16,2,0)&amp;TEXT((COUNTIF(C$7:C7,"="&amp;C8)+1),0))</f>
        <v>EW2</v>
      </c>
      <c r="C8" s="54" t="s">
        <v>44</v>
      </c>
      <c r="D8" s="54" t="s">
        <v>49</v>
      </c>
      <c r="E8" s="55"/>
      <c r="F8" s="56">
        <v>1</v>
      </c>
      <c r="G8" s="57" t="str">
        <f>IF($F8="","",VLOOKUP($F8,'Templ-Cons'!B$6:C$55,2,0))</f>
        <v>Composite 2x4 Wood Stud R11</v>
      </c>
      <c r="H8" s="58" t="s">
        <v>46</v>
      </c>
      <c r="I8" s="59">
        <f t="shared" si="0"/>
        <v>0.46562717129194497</v>
      </c>
      <c r="J8" s="60">
        <f>IF(D8="","",IF(G8="",VLOOKUP(K8,MatlsData,6,0)+VLOOKUP(O8,MatlsData,6,0)+VLOOKUP(S8,MatlsData,6,0)+VLOOKUP(W8,MatlsData,6,0)+VLOOKUP(AA8,MatlsData,6,0),VLOOKUP(G8,'Templ-Cons'!C7:E76,3,0)))</f>
        <v>1.9976409918806199</v>
      </c>
      <c r="K8" s="56">
        <v>3</v>
      </c>
      <c r="L8" s="57" t="str">
        <f>IF($D8="","",IF(AND($F8="",K8=""),"← Enter #",IF(NOT($F8=""),IF(VLOOKUP($F8,'Templ-Cons'!$B$6:$T$107,8,0)="","",VLOOKUP($F8,'Templ-Cons'!$B$6:$T$107,8,0)),"")))</f>
        <v>C01a</v>
      </c>
      <c r="M8" s="57" t="str">
        <f>IF(OR($D8="",L8="← Enter #"),"",IF($G8="",VLOOKUP(K8,MatlsData,2,0),VLOOKUP($G8,'Templ-Cons'!$C$6:$T$107,8,0)))</f>
        <v>Composite 2x4 Wood Stud R11 #3</v>
      </c>
      <c r="N8" s="58" t="s">
        <v>46</v>
      </c>
      <c r="O8" s="61"/>
      <c r="P8" s="62" t="str">
        <f>IF($D8="","",IF(AND($F8="",O8=""),"← Enter #",IF(NOT($F8=""),IF(VLOOKUP($F8,'Templ-Cons'!$B$6:$T$107,10,0)="","",VLOOKUP($F8,'Templ-Cons'!$B$6:$T$107,10,0)),"")))</f>
        <v>C01b</v>
      </c>
      <c r="Q8" s="62" t="str">
        <f>IF(OR($D8="",P8="← Enter #"),"",IF($G8="",VLOOKUP(O8,MatlsData,2,0),VLOOKUP($G8,'Templ-Cons'!$C$6:$T$107,10,0)))</f>
        <v>Composite 2x4 Wood Stud R11 #2</v>
      </c>
      <c r="R8" s="63" t="s">
        <v>46</v>
      </c>
      <c r="S8" s="56"/>
      <c r="T8" s="57" t="str">
        <f>IF($D8="","",IF(AND($F8="",S8=""),"← Enter #",IF(NOT($F8=""),IF(VLOOKUP($F8,'Templ-Cons'!$B$6:$T$107,12,0)="","",VLOOKUP($F8,'Templ-Cons'!$B$6:$T$107,12,0)),"")))</f>
        <v>C01c</v>
      </c>
      <c r="U8" s="57" t="str">
        <f>IF(OR($D8="",T8="← Enter #"),"",IF($G8="",VLOOKUP(S8,MatlsData,2,0),VLOOKUP($G8,'Templ-Cons'!$C$6:$T$107,12,0)))</f>
        <v>Composite 2x4 Wood Stud R11 #1</v>
      </c>
      <c r="V8" s="58" t="s">
        <v>46</v>
      </c>
      <c r="W8" s="61"/>
      <c r="X8" s="62" t="str">
        <f>IF($D8="","",IF(AND($F8="",W8=""),"← Enter #",IF(NOT($F8=""),IF(VLOOKUP($F8,'Templ-Cons'!$B$6:$T$107,14,0)="","",VLOOKUP($F8,'Templ-Cons'!$B$6:$T$107,14,0)),"")))</f>
        <v/>
      </c>
      <c r="Y8" s="62">
        <f>IF(OR($D8="",X8="← Enter #"),"",IF($G8="",VLOOKUP(W8,MatlsData,2,0),VLOOKUP($G8,'Templ-Cons'!$C$6:$T$107,14,0)))</f>
        <v>0</v>
      </c>
      <c r="Z8" s="63" t="s">
        <v>46</v>
      </c>
      <c r="AA8" s="56"/>
      <c r="AB8" s="57" t="str">
        <f>IF($D8="","",IF(AND($F8="",AA8=""),"← Enter #",IF(NOT($F8=""),IF(VLOOKUP($F8,'Templ-Cons'!$B$6:$T$107,16,0)="","",VLOOKUP($F8,'Templ-Cons'!$B$6:$T$107,16,0)),"")))</f>
        <v/>
      </c>
      <c r="AC8" s="57"/>
      <c r="AD8" s="58" t="s">
        <v>46</v>
      </c>
      <c r="AE8" s="64"/>
      <c r="AG8" s="65" t="str">
        <f t="shared" si="1"/>
        <v>Ext. Wall Const.</v>
      </c>
      <c r="AO8" s="1" t="s">
        <v>50</v>
      </c>
      <c r="AP8" s="1" t="s">
        <v>51</v>
      </c>
      <c r="AQ8" s="1">
        <f t="shared" si="2"/>
        <v>0</v>
      </c>
      <c r="AT8" s="1" t="s">
        <v>52</v>
      </c>
      <c r="AU8" s="1" t="s">
        <v>53</v>
      </c>
    </row>
    <row r="9" spans="1:47" ht="36">
      <c r="A9" s="9"/>
      <c r="B9" s="53" t="str">
        <f>IF(C9=" ","",VLOOKUP(C9,AO$7:AP$16,2,0)&amp;TEXT((COUNTIF(C$7:C8,"="&amp;C9)+1),0))</f>
        <v>EW3</v>
      </c>
      <c r="C9" s="54" t="s">
        <v>44</v>
      </c>
      <c r="D9" s="54" t="s">
        <v>54</v>
      </c>
      <c r="E9" s="55"/>
      <c r="F9" s="56">
        <v>12</v>
      </c>
      <c r="G9" s="57" t="str">
        <f>IF($F9="","",VLOOKUP($F9,'Templ-Cons'!B$6:C$55,2,0))</f>
        <v>Light Exterior Wall</v>
      </c>
      <c r="H9" s="66"/>
      <c r="I9" s="59">
        <f t="shared" si="0"/>
        <v>0.50965775941182156</v>
      </c>
      <c r="J9" s="60">
        <f>IF(D9="","",IF(G9="",VLOOKUP(K9,MatlsData,6,0)+VLOOKUP(O9,MatlsData,6,0)+VLOOKUP(S9,MatlsData,6,0)+VLOOKUP(W9,MatlsData,6,0)+VLOOKUP(AA9,MatlsData,6,0),VLOOKUP(G9,'Templ-Cons'!C8:E77,3,0)))</f>
        <v>1.81210100117786</v>
      </c>
      <c r="K9" s="56"/>
      <c r="L9" s="57" t="str">
        <f>IF($D9="","",IF(AND($F9="",K9=""),"← Enter #",IF(NOT($F9=""),IF(VLOOKUP($F9,'Templ-Cons'!$B$6:$T$107,8,0)="","",VLOOKUP($F9,'Templ-Cons'!$B$6:$T$107,8,0)),"")))</f>
        <v>F08</v>
      </c>
      <c r="M9" s="57" t="str">
        <f>IF(OR($D9="",L9="← Enter #"),"",IF($G9="",VLOOKUP(K9,MatlsData,2,0),VLOOKUP($G9,'Templ-Cons'!$C$6:$T$107,8,0)))</f>
        <v>Metal surface</v>
      </c>
      <c r="N9" s="66"/>
      <c r="O9" s="61"/>
      <c r="P9" s="62" t="str">
        <f>IF($D9="","",IF(AND($F9="",O9=""),"← Enter #",IF(NOT($F9=""),IF(VLOOKUP($F9,'Templ-Cons'!$B$6:$T$107,10,0)="","",VLOOKUP($F9,'Templ-Cons'!$B$6:$T$107,10,0)),"")))</f>
        <v>I02</v>
      </c>
      <c r="Q9" s="62" t="str">
        <f>IF(OR($D9="",P9="← Enter #"),"",IF($G9="",VLOOKUP(O9,MatlsData,2,0),VLOOKUP($G9,'Templ-Cons'!$C$6:$T$107,10,0)))</f>
        <v>50mm insulation board</v>
      </c>
      <c r="R9" s="67"/>
      <c r="S9" s="56"/>
      <c r="T9" s="57" t="str">
        <f>IF($D9="","",IF(AND($F9="",S9=""),"← Enter #",IF(NOT($F9=""),IF(VLOOKUP($F9,'Templ-Cons'!$B$6:$T$107,12,0)="","",VLOOKUP($F9,'Templ-Cons'!$B$6:$T$107,12,0)),"")))</f>
        <v>F04</v>
      </c>
      <c r="U9" s="57" t="str">
        <f>IF(OR($D9="",T9="← Enter #"),"",IF($G9="",VLOOKUP(S9,MatlsData,2,0),VLOOKUP($G9,'Templ-Cons'!$C$6:$T$107,12,0)))</f>
        <v>Wall air space resistance</v>
      </c>
      <c r="V9" s="66"/>
      <c r="W9" s="61"/>
      <c r="X9" s="62" t="str">
        <f>IF($D9="","",IF(AND($F9="",W9=""),"← Enter #",IF(NOT($F9=""),IF(VLOOKUP($F9,'Templ-Cons'!$B$6:$T$107,14,0)="","",VLOOKUP($F9,'Templ-Cons'!$B$6:$T$107,14,0)),"")))</f>
        <v>G01a</v>
      </c>
      <c r="Y9" s="62" t="str">
        <f>IF(OR($D9="",X9="← Enter #"),"",IF($G9="",VLOOKUP(W9,MatlsData,2,0),VLOOKUP($G9,'Templ-Cons'!$C$6:$T$107,14,0)))</f>
        <v>19mm gypsum board</v>
      </c>
      <c r="Z9" s="67"/>
      <c r="AA9" s="56"/>
      <c r="AB9" s="57" t="str">
        <f>IF($D9="","",IF(AND($F9="",AA9=""),"← Enter #",IF(NOT($F9=""),IF(VLOOKUP($F9,'Templ-Cons'!$B$6:$T$107,16,0)="","",VLOOKUP($F9,'Templ-Cons'!$B$6:$T$107,16,0)),"")))</f>
        <v/>
      </c>
      <c r="AC9" s="57">
        <f>IF(OR($D9="",AB9="← Enter #"),"",IF($G9="",VLOOKUP(AA9,MatlsData,2,0),VLOOKUP($G9,'Templ-Cons'!$C$6:$T$107,16,0)))</f>
        <v>0</v>
      </c>
      <c r="AD9" s="66"/>
      <c r="AE9" s="64"/>
      <c r="AG9" s="65" t="str">
        <f t="shared" si="1"/>
        <v>Ext. Wall Const.</v>
      </c>
      <c r="AO9" s="1" t="s">
        <v>55</v>
      </c>
      <c r="AP9" s="1" t="s">
        <v>56</v>
      </c>
      <c r="AQ9" s="1">
        <f t="shared" si="2"/>
        <v>0</v>
      </c>
      <c r="AT9" s="1" t="s">
        <v>57</v>
      </c>
      <c r="AU9" s="1" t="s">
        <v>58</v>
      </c>
    </row>
    <row r="10" spans="1:47" ht="48">
      <c r="A10" s="9"/>
      <c r="B10" s="53" t="str">
        <f>IF(C10=" ","",VLOOKUP(C10,AO$7:AP$16,2,0)&amp;TEXT((COUNTIF(C$7:C9,"="&amp;C10)+1),0))</f>
        <v>EW4</v>
      </c>
      <c r="C10" s="54" t="s">
        <v>44</v>
      </c>
      <c r="D10" s="54" t="s">
        <v>59</v>
      </c>
      <c r="E10" s="55"/>
      <c r="F10" s="56">
        <v>6</v>
      </c>
      <c r="G10" s="57" t="str">
        <f>IF($F10="","",VLOOKUP($F10,'Templ-Cons'!B$6:C$55,2,0))</f>
        <v>Composite 2x4 Steel Stud R11</v>
      </c>
      <c r="H10" s="66"/>
      <c r="I10" s="59">
        <f t="shared" si="0"/>
        <v>0.58592652873099771</v>
      </c>
      <c r="J10" s="60">
        <f>IF(D10="","",IF(G10="",VLOOKUP(K10,MatlsData,6,0)+VLOOKUP(O10,MatlsData,6,0)+VLOOKUP(S10,MatlsData,6,0)+VLOOKUP(W10,MatlsData,6,0)+VLOOKUP(AA10,MatlsData,6,0),VLOOKUP(G10,'Templ-Cons'!C9:E78,3,0)))</f>
        <v>1.55669862340216</v>
      </c>
      <c r="K10" s="56"/>
      <c r="L10" s="57" t="str">
        <f>IF($D10="","",IF(AND($F10="",K10=""),"← Enter #",IF(NOT($F10=""),IF(VLOOKUP($F10,'Templ-Cons'!$B$6:$T$107,8,0)="","",VLOOKUP($F10,'Templ-Cons'!$B$6:$T$107,8,0)),"")))</f>
        <v>C06a</v>
      </c>
      <c r="M10" s="57" t="str">
        <f>IF(OR($D10="",L10="← Enter #"),"",IF($G10="",VLOOKUP(K10,MatlsData,2,0),VLOOKUP($G10,'Templ-Cons'!$C$6:$T$107,8,0)))</f>
        <v>Composite 2x4 Steel Stud R11 #3</v>
      </c>
      <c r="N10" s="66"/>
      <c r="O10" s="61"/>
      <c r="P10" s="62" t="str">
        <f>IF($D10="","",IF(AND($F10="",O10=""),"← Enter #",IF(NOT($F10=""),IF(VLOOKUP($F10,'Templ-Cons'!$B$6:$T$107,10,0)="","",VLOOKUP($F10,'Templ-Cons'!$B$6:$T$107,10,0)),"")))</f>
        <v>C06b</v>
      </c>
      <c r="Q10" s="62" t="str">
        <f>IF(OR($D10="",P10="← Enter #"),"",IF($G10="",VLOOKUP(O10,MatlsData,2,0),VLOOKUP($G10,'Templ-Cons'!$C$6:$T$107,10,0)))</f>
        <v>Composite 2x4 Steel Stud R11 #2</v>
      </c>
      <c r="R10" s="67"/>
      <c r="S10" s="56"/>
      <c r="T10" s="57" t="str">
        <f>IF($D10="","",IF(AND($F10="",S10=""),"← Enter #",IF(NOT($F10=""),IF(VLOOKUP($F10,'Templ-Cons'!$B$6:$T$107,12,0)="","",VLOOKUP($F10,'Templ-Cons'!$B$6:$T$107,12,0)),"")))</f>
        <v>C06c</v>
      </c>
      <c r="U10" s="57" t="str">
        <f>IF(OR($D10="",T10="← Enter #"),"",IF($G10="",VLOOKUP(S10,MatlsData,2,0),VLOOKUP($G10,'Templ-Cons'!$C$6:$T$107,12,0)))</f>
        <v>Composite 2x4 Steel Stud R11 #1</v>
      </c>
      <c r="V10" s="66"/>
      <c r="W10" s="61"/>
      <c r="X10" s="62" t="str">
        <f>IF($D10="","",IF(AND($F10="",W10=""),"← Enter #",IF(NOT($F10=""),IF(VLOOKUP($F10,'Templ-Cons'!$B$6:$T$107,14,0)="","",VLOOKUP($F10,'Templ-Cons'!$B$6:$T$107,14,0)),"")))</f>
        <v/>
      </c>
      <c r="Y10" s="62">
        <f>IF(OR($D10="",X10="← Enter #"),"",IF($G10="",VLOOKUP(W10,MatlsData,2,0),VLOOKUP($G10,'Templ-Cons'!$C$6:$T$107,14,0)))</f>
        <v>0</v>
      </c>
      <c r="Z10" s="67"/>
      <c r="AA10" s="56"/>
      <c r="AB10" s="57" t="str">
        <f>IF($D10="","",IF(AND($F10="",AA10=""),"← Enter #",IF(NOT($F10=""),IF(VLOOKUP($F10,'Templ-Cons'!$B$6:$T$107,16,0)="","",VLOOKUP($F10,'Templ-Cons'!$B$6:$T$107,16,0)),"")))</f>
        <v/>
      </c>
      <c r="AC10" s="57">
        <f>IF(OR($D10="",AB10="← Enter #"),"",IF($G10="",VLOOKUP(AA10,MatlsData,2,0),VLOOKUP($G10,'Templ-Cons'!$C$6:$T$107,16,0)))</f>
        <v>0</v>
      </c>
      <c r="AD10" s="66"/>
      <c r="AE10" s="64"/>
      <c r="AG10" s="65" t="str">
        <f t="shared" si="1"/>
        <v>Ext. Wall Const.</v>
      </c>
      <c r="AO10" s="1" t="s">
        <v>60</v>
      </c>
      <c r="AP10" s="1" t="s">
        <v>61</v>
      </c>
      <c r="AQ10" s="1">
        <f t="shared" si="2"/>
        <v>1</v>
      </c>
      <c r="AT10" s="1" t="s">
        <v>62</v>
      </c>
      <c r="AU10" s="1" t="s">
        <v>63</v>
      </c>
    </row>
    <row r="11" spans="1:47" ht="36">
      <c r="A11" s="9"/>
      <c r="B11" s="53" t="str">
        <f>IF(C11=" ","",VLOOKUP(C11,AO$7:AP$16,2,0)&amp;TEXT((COUNTIF(C$7:C10,"="&amp;C11)+1),0))</f>
        <v>AF1</v>
      </c>
      <c r="C11" s="54" t="s">
        <v>64</v>
      </c>
      <c r="D11" s="54" t="s">
        <v>65</v>
      </c>
      <c r="E11" s="55"/>
      <c r="F11" s="56">
        <v>14</v>
      </c>
      <c r="G11" s="57" t="str">
        <f>IF($F11="","",VLOOKUP($F11,'Templ-Cons'!B$6:C$55,2,0))</f>
        <v>Light Partitions</v>
      </c>
      <c r="H11" s="66"/>
      <c r="I11" s="59">
        <f t="shared" si="0"/>
        <v>2.580645161290323</v>
      </c>
      <c r="J11" s="60">
        <f>IF(D11="","",IF(G11="",VLOOKUP(K11,MatlsData,6,0)+VLOOKUP(O11,MatlsData,6,0)+VLOOKUP(S11,MatlsData,6,0)+VLOOKUP(W11,MatlsData,6,0)+VLOOKUP(AA11,MatlsData,6,0),VLOOKUP(G11,'Templ-Cons'!C10:E79,3,0)))</f>
        <v>0.23749999999999999</v>
      </c>
      <c r="K11" s="56"/>
      <c r="L11" s="57" t="str">
        <f>IF($D11="","",IF(AND($F11="",K11=""),"← Enter #",IF(NOT($F11=""),IF(VLOOKUP($F11,'Templ-Cons'!$B$6:$T$107,8,0)="","",VLOOKUP($F11,'Templ-Cons'!$B$6:$T$107,8,0)),"")))</f>
        <v>G01a</v>
      </c>
      <c r="M11" s="57" t="str">
        <f>IF(OR($D11="",L11="← Enter #"),"",IF($G11="",VLOOKUP(K11,MatlsData,2,0),VLOOKUP($G11,'Templ-Cons'!$C$6:$T$107,8,0)))</f>
        <v>19mm gypsum board</v>
      </c>
      <c r="N11" s="66"/>
      <c r="O11" s="61"/>
      <c r="P11" s="62" t="str">
        <f>IF($D11="","",IF(AND($F11="",O11=""),"← Enter #",IF(NOT($F11=""),IF(VLOOKUP($F11,'Templ-Cons'!$B$6:$T$107,10,0)="","",VLOOKUP($F11,'Templ-Cons'!$B$6:$T$107,10,0)),"")))</f>
        <v>F04</v>
      </c>
      <c r="Q11" s="62" t="str">
        <f>IF(OR($D11="",P11="← Enter #"),"",IF($G11="",VLOOKUP(O11,MatlsData,2,0),VLOOKUP($G11,'Templ-Cons'!$C$6:$T$107,10,0)))</f>
        <v>Wall air space resistance</v>
      </c>
      <c r="R11" s="67"/>
      <c r="S11" s="56"/>
      <c r="T11" s="57" t="str">
        <f>IF($D11="","",IF(AND($F11="",S11=""),"← Enter #",IF(NOT($F11=""),IF(VLOOKUP($F11,'Templ-Cons'!$B$6:$T$107,12,0)="","",VLOOKUP($F11,'Templ-Cons'!$B$6:$T$107,12,0)),"")))</f>
        <v>G01a</v>
      </c>
      <c r="U11" s="57" t="str">
        <f>IF(OR($D11="",T11="← Enter #"),"",IF($G11="",VLOOKUP(S11,MatlsData,2,0),VLOOKUP($G11,'Templ-Cons'!$C$6:$T$107,12,0)))</f>
        <v>19mm gypsum board</v>
      </c>
      <c r="V11" s="66"/>
      <c r="W11" s="61"/>
      <c r="X11" s="62" t="str">
        <f>IF($D11="","",IF(AND($F11="",W11=""),"← Enter #",IF(NOT($F11=""),IF(VLOOKUP($F11,'Templ-Cons'!$B$6:$T$107,14,0)="","",VLOOKUP($F11,'Templ-Cons'!$B$6:$T$107,14,0)),"")))</f>
        <v/>
      </c>
      <c r="Y11" s="62">
        <f>IF(OR($D11="",X11="← Enter #"),"",IF($G11="",VLOOKUP(W11,MatlsData,2,0),VLOOKUP($G11,'Templ-Cons'!$C$6:$T$107,14,0)))</f>
        <v>0</v>
      </c>
      <c r="Z11" s="67"/>
      <c r="AA11" s="56"/>
      <c r="AB11" s="57" t="str">
        <f>IF($D11="","",IF(AND($F11="",AA11=""),"← Enter #",IF(NOT($F11=""),IF(VLOOKUP($F11,'Templ-Cons'!$B$6:$T$107,16,0)="","",VLOOKUP($F11,'Templ-Cons'!$B$6:$T$107,16,0)),"")))</f>
        <v/>
      </c>
      <c r="AC11" s="57">
        <f>IF(OR($D11="",AB11="← Enter #"),"",IF($G11="",VLOOKUP(AA11,MatlsData,2,0),VLOOKUP($G11,'Templ-Cons'!$C$6:$T$107,16,0)))</f>
        <v>0</v>
      </c>
      <c r="AD11" s="66"/>
      <c r="AE11" s="64"/>
      <c r="AG11" s="65" t="str">
        <f t="shared" si="1"/>
        <v>Adb. Flr. Const.</v>
      </c>
      <c r="AO11" s="1" t="s">
        <v>66</v>
      </c>
      <c r="AP11" s="1" t="s">
        <v>67</v>
      </c>
      <c r="AQ11" s="1">
        <f t="shared" si="2"/>
        <v>1</v>
      </c>
      <c r="AT11" s="1" t="s">
        <v>68</v>
      </c>
      <c r="AU11" s="1" t="s">
        <v>69</v>
      </c>
    </row>
    <row r="12" spans="1:47" ht="36">
      <c r="A12" s="9"/>
      <c r="B12" s="53" t="e">
        <f>IF(C12=" ","",VLOOKUP(C12,AO$7:AP$16,2,0)&amp;TEXT((COUNTIF(C$7:C11,"="&amp;C12)+1),0))</f>
        <v>#N/A</v>
      </c>
      <c r="C12" s="54" t="s">
        <v>70</v>
      </c>
      <c r="D12" s="54" t="s">
        <v>71</v>
      </c>
      <c r="E12" s="55"/>
      <c r="F12" s="56">
        <v>19</v>
      </c>
      <c r="G12" s="57" t="str">
        <f>IF($F12="","",VLOOKUP($F12,'Templ-Cons'!B$6:C$55,2,0))</f>
        <v>Medium Partitions</v>
      </c>
      <c r="H12" s="66"/>
      <c r="I12" s="59">
        <f t="shared" si="0"/>
        <v>2.580645161290323</v>
      </c>
      <c r="J12" s="60">
        <f>IF(D12="","",IF(G12="",VLOOKUP(K12,MatlsData,6,0)+VLOOKUP(O12,MatlsData,6,0)+VLOOKUP(S12,MatlsData,6,0)+VLOOKUP(W12,MatlsData,6,0)+VLOOKUP(AA12,MatlsData,6,0),VLOOKUP(G12,'Templ-Cons'!C11:E80,3,0)))</f>
        <v>0.23749999999999999</v>
      </c>
      <c r="K12" s="56"/>
      <c r="L12" s="57" t="str">
        <f>IF($D12="","",IF(AND($F12="",K12=""),"← Enter #",IF(NOT($F12=""),IF(VLOOKUP($F12,'Templ-Cons'!$B$6:$T$107,8,0)="","",VLOOKUP($F12,'Templ-Cons'!$B$6:$T$107,8,0)),"")))</f>
        <v>G01a</v>
      </c>
      <c r="M12" s="57" t="str">
        <f>IF(OR($D12="",L12="← Enter #"),"",IF($G12="",VLOOKUP(K12,MatlsData,2,0),VLOOKUP($G12,'Templ-Cons'!$C$6:$T$107,8,0)))</f>
        <v>19mm gypsum board</v>
      </c>
      <c r="N12" s="66"/>
      <c r="O12" s="61"/>
      <c r="P12" s="62" t="str">
        <f>IF($D12="","",IF(AND($F12="",O12=""),"← Enter #",IF(NOT($F12=""),IF(VLOOKUP($F12,'Templ-Cons'!$B$6:$T$107,10,0)="","",VLOOKUP($F12,'Templ-Cons'!$B$6:$T$107,10,0)),"")))</f>
        <v>F04</v>
      </c>
      <c r="Q12" s="62" t="str">
        <f>IF(OR($D12="",P12="← Enter #"),"",IF($G12="",VLOOKUP(O12,MatlsData,2,0),VLOOKUP($G12,'Templ-Cons'!$C$6:$T$107,10,0)))</f>
        <v>Wall air space resistance</v>
      </c>
      <c r="R12" s="67"/>
      <c r="S12" s="56"/>
      <c r="T12" s="57" t="str">
        <f>IF($D12="","",IF(AND($F12="",S12=""),"← Enter #",IF(NOT($F12=""),IF(VLOOKUP($F12,'Templ-Cons'!$B$6:$T$107,12,0)="","",VLOOKUP($F12,'Templ-Cons'!$B$6:$T$107,12,0)),"")))</f>
        <v>G01a</v>
      </c>
      <c r="U12" s="57" t="str">
        <f>IF(OR($D12="",T12="← Enter #"),"",IF($G12="",VLOOKUP(S12,MatlsData,2,0),VLOOKUP($G12,'Templ-Cons'!$C$6:$T$107,12,0)))</f>
        <v>19mm gypsum board</v>
      </c>
      <c r="V12" s="66"/>
      <c r="W12" s="61"/>
      <c r="X12" s="62" t="str">
        <f>IF($D12="","",IF(AND($F12="",W12=""),"← Enter #",IF(NOT($F12=""),IF(VLOOKUP($F12,'Templ-Cons'!$B$6:$T$107,14,0)="","",VLOOKUP($F12,'Templ-Cons'!$B$6:$T$107,14,0)),"")))</f>
        <v/>
      </c>
      <c r="Y12" s="62">
        <f>IF(OR($D12="",X12="← Enter #"),"",IF($G12="",VLOOKUP(W12,MatlsData,2,0),VLOOKUP($G12,'Templ-Cons'!$C$6:$T$107,14,0)))</f>
        <v>0</v>
      </c>
      <c r="Z12" s="67"/>
      <c r="AA12" s="56"/>
      <c r="AB12" s="57" t="str">
        <f>IF($D12="","",IF(AND($F12="",AA12=""),"← Enter #",IF(NOT($F12=""),IF(VLOOKUP($F12,'Templ-Cons'!$B$6:$T$107,16,0)="","",VLOOKUP($F12,'Templ-Cons'!$B$6:$T$107,16,0)),"")))</f>
        <v/>
      </c>
      <c r="AC12" s="57">
        <f>IF(OR($D12="",AB12="← Enter #"),"",IF($G12="",VLOOKUP(AA12,MatlsData,2,0),VLOOKUP($G12,'Templ-Cons'!$C$6:$T$107,16,0)))</f>
        <v>0</v>
      </c>
      <c r="AD12" s="66"/>
      <c r="AE12" s="64"/>
      <c r="AG12" s="65" t="e">
        <f t="shared" si="1"/>
        <v>#N/A</v>
      </c>
      <c r="AO12" s="1" t="s">
        <v>64</v>
      </c>
      <c r="AP12" s="1" t="s">
        <v>72</v>
      </c>
      <c r="AQ12" s="1">
        <f t="shared" si="2"/>
        <v>2</v>
      </c>
      <c r="AT12" s="1" t="s">
        <v>73</v>
      </c>
      <c r="AU12" s="1" t="s">
        <v>74</v>
      </c>
    </row>
    <row r="13" spans="1:47" ht="36">
      <c r="A13" s="9"/>
      <c r="B13" s="53" t="e">
        <f>IF(C13=" ","",VLOOKUP(C13,AO$7:AP$16,2,0)&amp;TEXT((COUNTIF(C$7:C12,"="&amp;C13)+1),0))</f>
        <v>#N/A</v>
      </c>
      <c r="C13" s="54" t="s">
        <v>70</v>
      </c>
      <c r="D13" s="54" t="s">
        <v>75</v>
      </c>
      <c r="E13" s="55"/>
      <c r="F13" s="56">
        <v>24</v>
      </c>
      <c r="G13" s="57" t="str">
        <f>IF($F13="","",VLOOKUP($F13,'Templ-Cons'!B$6:C$55,2,0))</f>
        <v>Heavy Partitions</v>
      </c>
      <c r="H13" s="66"/>
      <c r="I13" s="59">
        <f t="shared" si="0"/>
        <v>1.7526546401926342</v>
      </c>
      <c r="J13" s="60">
        <f>IF(D13="","",IF(G13="",VLOOKUP(K13,MatlsData,6,0)+VLOOKUP(O13,MatlsData,6,0)+VLOOKUP(S13,MatlsData,6,0)+VLOOKUP(W13,MatlsData,6,0)+VLOOKUP(AA13,MatlsData,6,0),VLOOKUP(G13,'Templ-Cons'!C12:E81,3,0)))</f>
        <v>0.42056306306306301</v>
      </c>
      <c r="K13" s="56"/>
      <c r="L13" s="57" t="str">
        <f>IF($D13="","",IF(AND($F13="",K13=""),"← Enter #",IF(NOT($F13=""),IF(VLOOKUP($F13,'Templ-Cons'!$B$6:$T$107,8,0)="","",VLOOKUP($F13,'Templ-Cons'!$B$6:$T$107,8,0)),"")))</f>
        <v>G01a</v>
      </c>
      <c r="M13" s="57" t="str">
        <f>IF(OR($D13="",L13="← Enter #"),"",IF($G13="",VLOOKUP(K13,MatlsData,2,0),VLOOKUP($G13,'Templ-Cons'!$C$6:$T$107,8,0)))</f>
        <v>19mm gypsum board</v>
      </c>
      <c r="N13" s="66"/>
      <c r="O13" s="61"/>
      <c r="P13" s="62" t="str">
        <f>IF($D13="","",IF(AND($F13="",O13=""),"← Enter #",IF(NOT($F13=""),IF(VLOOKUP($F13,'Templ-Cons'!$B$6:$T$107,10,0)="","",VLOOKUP($F13,'Templ-Cons'!$B$6:$T$107,10,0)),"")))</f>
        <v>M05</v>
      </c>
      <c r="Q13" s="62" t="str">
        <f>IF(OR($D13="",P13="← Enter #"),"",IF($G13="",VLOOKUP(O13,MatlsData,2,0),VLOOKUP($G13,'Templ-Cons'!$C$6:$T$107,10,0)))</f>
        <v>200mm concrete block</v>
      </c>
      <c r="R13" s="67"/>
      <c r="S13" s="56"/>
      <c r="T13" s="57" t="str">
        <f>IF($D13="","",IF(AND($F13="",S13=""),"← Enter #",IF(NOT($F13=""),IF(VLOOKUP($F13,'Templ-Cons'!$B$6:$T$107,12,0)="","",VLOOKUP($F13,'Templ-Cons'!$B$6:$T$107,12,0)),"")))</f>
        <v>G01a</v>
      </c>
      <c r="U13" s="57" t="str">
        <f>IF(OR($D13="",T13="← Enter #"),"",IF($G13="",VLOOKUP(S13,MatlsData,2,0),VLOOKUP($G13,'Templ-Cons'!$C$6:$T$107,12,0)))</f>
        <v>19mm gypsum board</v>
      </c>
      <c r="V13" s="66"/>
      <c r="W13" s="61"/>
      <c r="X13" s="62" t="str">
        <f>IF($D13="","",IF(AND($F13="",W13=""),"← Enter #",IF(NOT($F13=""),IF(VLOOKUP($F13,'Templ-Cons'!$B$6:$T$107,14,0)="","",VLOOKUP($F13,'Templ-Cons'!$B$6:$T$107,14,0)),"")))</f>
        <v/>
      </c>
      <c r="Y13" s="62">
        <f>IF(OR($D13="",X13="← Enter #"),"",IF($G13="",VLOOKUP(W13,MatlsData,2,0),VLOOKUP($G13,'Templ-Cons'!$C$6:$T$107,14,0)))</f>
        <v>0</v>
      </c>
      <c r="Z13" s="67"/>
      <c r="AA13" s="56"/>
      <c r="AB13" s="57" t="str">
        <f>IF($D13="","",IF(AND($F13="",AA13=""),"← Enter #",IF(NOT($F13=""),IF(VLOOKUP($F13,'Templ-Cons'!$B$6:$T$107,16,0)="","",VLOOKUP($F13,'Templ-Cons'!$B$6:$T$107,16,0)),"")))</f>
        <v/>
      </c>
      <c r="AC13" s="57">
        <f>IF(OR($D13="",AB13="← Enter #"),"",IF($G13="",VLOOKUP(AA13,MatlsData,2,0),VLOOKUP($G13,'Templ-Cons'!$C$6:$T$107,16,0)))</f>
        <v>0</v>
      </c>
      <c r="AD13" s="66"/>
      <c r="AE13" s="64"/>
      <c r="AG13" s="65" t="e">
        <f t="shared" si="1"/>
        <v>#N/A</v>
      </c>
      <c r="AO13" s="1" t="s">
        <v>76</v>
      </c>
      <c r="AP13" s="1" t="s">
        <v>77</v>
      </c>
      <c r="AQ13" s="1">
        <f t="shared" si="2"/>
        <v>0</v>
      </c>
      <c r="AT13" s="1" t="s">
        <v>78</v>
      </c>
      <c r="AU13" s="1" t="s">
        <v>79</v>
      </c>
    </row>
    <row r="14" spans="1:47" ht="48">
      <c r="A14" s="9"/>
      <c r="B14" s="53" t="str">
        <f>IF(C14=" ","",VLOOKUP(C14,AO$7:AP$16,2,0)&amp;TEXT((COUNTIF(C$7:C13,"="&amp;C14)+1),0))</f>
        <v>CE1</v>
      </c>
      <c r="C14" s="54" t="s">
        <v>66</v>
      </c>
      <c r="D14" s="54" t="s">
        <v>80</v>
      </c>
      <c r="E14" s="55"/>
      <c r="F14" s="56">
        <v>8</v>
      </c>
      <c r="G14" s="57" t="str">
        <f>IF($F14="","",VLOOKUP($F14,'Templ-Cons'!B$6:C$55,2,0))</f>
        <v>Composite 2x6 Steel Stud R19</v>
      </c>
      <c r="H14" s="66"/>
      <c r="I14" s="59">
        <f t="shared" si="0"/>
        <v>0.46558769764452462</v>
      </c>
      <c r="J14" s="60">
        <f>IF(D14="","",IF(G14="",VLOOKUP(K14,MatlsData,6,0)+VLOOKUP(O14,MatlsData,6,0)+VLOOKUP(S14,MatlsData,6,0)+VLOOKUP(W14,MatlsData,6,0)+VLOOKUP(AA14,MatlsData,6,0),VLOOKUP(G14,'Templ-Cons'!C13:E82,3,0)))</f>
        <v>1.9978230740613301</v>
      </c>
      <c r="K14" s="56"/>
      <c r="L14" s="57" t="str">
        <f>IF($D14="","",IF(AND($F14="",K14=""),"← Enter #",IF(NOT($F14=""),IF(VLOOKUP($F14,'Templ-Cons'!$B$6:$T$107,8,0)="","",VLOOKUP($F14,'Templ-Cons'!$B$6:$T$107,8,0)),"")))</f>
        <v>C08a</v>
      </c>
      <c r="M14" s="57" t="str">
        <f>IF(OR($D14="",L14="← Enter #"),"",IF($G14="",VLOOKUP(K14,MatlsData,2,0),VLOOKUP($G14,'Templ-Cons'!$C$6:$T$107,8,0)))</f>
        <v>Composite 2x6 Steel Stud R19 #3</v>
      </c>
      <c r="N14" s="66"/>
      <c r="O14" s="61"/>
      <c r="P14" s="62" t="str">
        <f>IF($D14="","",IF(AND($F14="",O14=""),"← Enter #",IF(NOT($F14=""),IF(VLOOKUP($F14,'Templ-Cons'!$B$6:$T$107,10,0)="","",VLOOKUP($F14,'Templ-Cons'!$B$6:$T$107,10,0)),"")))</f>
        <v>C08b</v>
      </c>
      <c r="Q14" s="62" t="str">
        <f>IF(OR($D14="",P14="← Enter #"),"",IF($G14="",VLOOKUP(O14,MatlsData,2,0),VLOOKUP($G14,'Templ-Cons'!$C$6:$T$107,10,0)))</f>
        <v>Composite 2x6 Steel Stud R19 #2</v>
      </c>
      <c r="R14" s="67"/>
      <c r="S14" s="56"/>
      <c r="T14" s="57" t="str">
        <f>IF($D14="","",IF(AND($F14="",S14=""),"← Enter #",IF(NOT($F14=""),IF(VLOOKUP($F14,'Templ-Cons'!$B$6:$T$107,12,0)="","",VLOOKUP($F14,'Templ-Cons'!$B$6:$T$107,12,0)),"")))</f>
        <v>C08c</v>
      </c>
      <c r="U14" s="57" t="str">
        <f>IF(OR($D14="",T14="← Enter #"),"",IF($G14="",VLOOKUP(S14,MatlsData,2,0),VLOOKUP($G14,'Templ-Cons'!$C$6:$T$107,12,0)))</f>
        <v>Composite 2x6 Steel Stud R19 #1</v>
      </c>
      <c r="V14" s="66"/>
      <c r="W14" s="61"/>
      <c r="X14" s="62" t="str">
        <f>IF($D14="","",IF(AND($F14="",W14=""),"← Enter #",IF(NOT($F14=""),IF(VLOOKUP($F14,'Templ-Cons'!$B$6:$T$107,14,0)="","",VLOOKUP($F14,'Templ-Cons'!$B$6:$T$107,14,0)),"")))</f>
        <v/>
      </c>
      <c r="Y14" s="62">
        <f>IF(OR($D14="",X14="← Enter #"),"",IF($G14="",VLOOKUP(W14,MatlsData,2,0),VLOOKUP($G14,'Templ-Cons'!$C$6:$T$107,14,0)))</f>
        <v>0</v>
      </c>
      <c r="Z14" s="67"/>
      <c r="AA14" s="56"/>
      <c r="AB14" s="57" t="str">
        <f>IF($D14="","",IF(AND($F14="",AA14=""),"← Enter #",IF(NOT($F14=""),IF(VLOOKUP($F14,'Templ-Cons'!$B$6:$T$107,16,0)="","",VLOOKUP($F14,'Templ-Cons'!$B$6:$T$107,16,0)),"")))</f>
        <v/>
      </c>
      <c r="AC14" s="57">
        <f>IF(OR($D14="",AB14="← Enter #"),"",IF($G14="",VLOOKUP(AA14,MatlsData,2,0),VLOOKUP($G14,'Templ-Cons'!$C$6:$T$107,16,0)))</f>
        <v>0</v>
      </c>
      <c r="AD14" s="66"/>
      <c r="AE14" s="64"/>
      <c r="AG14" s="65" t="str">
        <f t="shared" si="1"/>
        <v>Ceiling Const.</v>
      </c>
      <c r="AO14" s="1" t="s">
        <v>81</v>
      </c>
      <c r="AP14" s="1" t="s">
        <v>82</v>
      </c>
      <c r="AQ14" s="1">
        <f t="shared" si="2"/>
        <v>1</v>
      </c>
      <c r="AT14" s="1" t="s">
        <v>83</v>
      </c>
      <c r="AU14" s="1" t="s">
        <v>84</v>
      </c>
    </row>
    <row r="15" spans="1:47" ht="36">
      <c r="A15" s="9"/>
      <c r="B15" s="53" t="str">
        <f>IF(C15=" ","",VLOOKUP(C15,AO$7:AP$16,2,0)&amp;TEXT((COUNTIF(C$7:C14,"="&amp;C15)+1),0))</f>
        <v>AF2</v>
      </c>
      <c r="C15" s="54" t="s">
        <v>64</v>
      </c>
      <c r="D15" s="54" t="s">
        <v>85</v>
      </c>
      <c r="E15" s="55"/>
      <c r="F15" s="56">
        <v>20</v>
      </c>
      <c r="G15" s="57" t="str">
        <f>IF($F15="","",VLOOKUP($F15,'Templ-Cons'!B$6:C$55,2,0))</f>
        <v>Medium Floor</v>
      </c>
      <c r="H15" s="66"/>
      <c r="I15" s="59">
        <f t="shared" si="0"/>
        <v>1.9214662265359428</v>
      </c>
      <c r="J15" s="60">
        <f>IF(D15="","",IF(G15="",VLOOKUP(K15,MatlsData,6,0)+VLOOKUP(O15,MatlsData,6,0)+VLOOKUP(S15,MatlsData,6,0)+VLOOKUP(W15,MatlsData,6,0)+VLOOKUP(AA15,MatlsData,6,0),VLOOKUP(G15,'Templ-Cons'!C14:E83,3,0)))</f>
        <v>0.370435897435897</v>
      </c>
      <c r="K15" s="56"/>
      <c r="L15" s="57" t="str">
        <f>IF($D15="","",IF(AND($F15="",K15=""),"← Enter #",IF(NOT($F15=""),IF(VLOOKUP($F15,'Templ-Cons'!$B$6:$T$107,8,0)="","",VLOOKUP($F15,'Templ-Cons'!$B$6:$T$107,8,0)),"")))</f>
        <v>F16</v>
      </c>
      <c r="M15" s="57" t="str">
        <f>IF(OR($D15="",L15="← Enter #"),"",IF($G15="",VLOOKUP(K15,MatlsData,2,0),VLOOKUP($G15,'Templ-Cons'!$C$6:$T$107,8,0)))</f>
        <v>Acoustic tile</v>
      </c>
      <c r="N15" s="66"/>
      <c r="O15" s="61"/>
      <c r="P15" s="62" t="str">
        <f>IF($D15="","",IF(AND($F15="",O15=""),"← Enter #",IF(NOT($F15=""),IF(VLOOKUP($F15,'Templ-Cons'!$B$6:$T$107,10,0)="","",VLOOKUP($F15,'Templ-Cons'!$B$6:$T$107,10,0)),"")))</f>
        <v>F05</v>
      </c>
      <c r="Q15" s="62" t="str">
        <f>IF(OR($D15="",P15="← Enter #"),"",IF($G15="",VLOOKUP(O15,MatlsData,2,0),VLOOKUP($G15,'Templ-Cons'!$C$6:$T$107,10,0)))</f>
        <v>Ceiling air space resistance</v>
      </c>
      <c r="R15" s="67"/>
      <c r="S15" s="56"/>
      <c r="T15" s="57" t="str">
        <f>IF($D15="","",IF(AND($F15="",S15=""),"← Enter #",IF(NOT($F15=""),IF(VLOOKUP($F15,'Templ-Cons'!$B$6:$T$107,12,0)="","",VLOOKUP($F15,'Templ-Cons'!$B$6:$T$107,12,0)),"")))</f>
        <v>M14a</v>
      </c>
      <c r="U15" s="57" t="str">
        <f>IF(OR($D15="",T15="← Enter #"),"",IF($G15="",VLOOKUP(S15,MatlsData,2,0),VLOOKUP($G15,'Templ-Cons'!$C$6:$T$107,12,0)))</f>
        <v>100mm heavyweight concrete</v>
      </c>
      <c r="V15" s="66"/>
      <c r="W15" s="61"/>
      <c r="X15" s="62" t="str">
        <f>IF($D15="","",IF(AND($F15="",W15=""),"← Enter #",IF(NOT($F15=""),IF(VLOOKUP($F15,'Templ-Cons'!$B$6:$T$107,14,0)="","",VLOOKUP($F15,'Templ-Cons'!$B$6:$T$107,14,0)),"")))</f>
        <v/>
      </c>
      <c r="Y15" s="62">
        <f>IF(OR($D15="",X15="← Enter #"),"",IF($G15="",VLOOKUP(W15,MatlsData,2,0),VLOOKUP($G15,'Templ-Cons'!$C$6:$T$107,14,0)))</f>
        <v>0</v>
      </c>
      <c r="Z15" s="67"/>
      <c r="AA15" s="56"/>
      <c r="AB15" s="57" t="str">
        <f>IF($D15="","",IF(AND($F15="",AA15=""),"← Enter #",IF(NOT($F15=""),IF(VLOOKUP($F15,'Templ-Cons'!$B$6:$T$107,16,0)="","",VLOOKUP($F15,'Templ-Cons'!$B$6:$T$107,16,0)),"")))</f>
        <v/>
      </c>
      <c r="AC15" s="57">
        <f>IF(OR($D15="",AB15="← Enter #"),"",IF($G15="",VLOOKUP(AA15,MatlsData,2,0),VLOOKUP($G15,'Templ-Cons'!$C$6:$T$107,16,0)))</f>
        <v>0</v>
      </c>
      <c r="AD15" s="66"/>
      <c r="AE15" s="64"/>
      <c r="AG15" s="65" t="str">
        <f t="shared" si="1"/>
        <v>Adb. Flr. Const.</v>
      </c>
      <c r="AO15" s="1" t="s">
        <v>86</v>
      </c>
      <c r="AP15" s="1" t="s">
        <v>87</v>
      </c>
      <c r="AQ15" s="1">
        <f t="shared" si="2"/>
        <v>1</v>
      </c>
      <c r="AT15" s="1" t="s">
        <v>88</v>
      </c>
      <c r="AU15" s="1" t="s">
        <v>89</v>
      </c>
    </row>
    <row r="16" spans="1:47" ht="60">
      <c r="A16" s="9"/>
      <c r="B16" s="53" t="str">
        <f>IF(C16=" ","",VLOOKUP(C16,AO$7:AP$16,2,0)&amp;TEXT((COUNTIF(C$7:C15,"="&amp;C16)+1),0))</f>
        <v>GF1</v>
      </c>
      <c r="C16" s="54" t="s">
        <v>81</v>
      </c>
      <c r="D16" s="54" t="s">
        <v>90</v>
      </c>
      <c r="E16" s="55"/>
      <c r="F16" s="56">
        <v>10</v>
      </c>
      <c r="G16" s="57" t="str">
        <f>IF($F16="","",VLOOKUP($F16,'Templ-Cons'!B$6:C$55,2,0))</f>
        <v>Composite Brick Foam 2x6 Steel Stud R19</v>
      </c>
      <c r="H16" s="66"/>
      <c r="I16" s="59">
        <f t="shared" si="0"/>
        <v>0.40716646874518114</v>
      </c>
      <c r="J16" s="60">
        <f>IF(D16="","",IF(G16="",VLOOKUP(K16,MatlsData,6,0)+VLOOKUP(O16,MatlsData,6,0)+VLOOKUP(S16,MatlsData,6,0)+VLOOKUP(W16,MatlsData,6,0)+VLOOKUP(AA16,MatlsData,6,0),VLOOKUP(G16,'Templ-Cons'!C15:E84,3,0)))</f>
        <v>2.3059979191848301</v>
      </c>
      <c r="K16" s="56"/>
      <c r="L16" s="57" t="str">
        <f>IF($D16="","",IF(AND($F16="",K16=""),"← Enter #",IF(NOT($F16=""),IF(VLOOKUP($F16,'Templ-Cons'!$B$6:$T$107,8,0)="","",VLOOKUP($F16,'Templ-Cons'!$B$6:$T$107,8,0)),"")))</f>
        <v>C10a</v>
      </c>
      <c r="M16" s="57" t="str">
        <f>IF(OR($D16="",L16="← Enter #"),"",IF($G16="",VLOOKUP(K16,MatlsData,2,0),VLOOKUP($G16,'Templ-Cons'!$C$6:$T$107,8,0)))</f>
        <v>Composite Brick Foam 2x4 Steel Stud R11 #3</v>
      </c>
      <c r="N16" s="66"/>
      <c r="O16" s="61"/>
      <c r="P16" s="62" t="str">
        <f>IF($D16="","",IF(AND($F16="",O16=""),"← Enter #",IF(NOT($F16=""),IF(VLOOKUP($F16,'Templ-Cons'!$B$6:$T$107,10,0)="","",VLOOKUP($F16,'Templ-Cons'!$B$6:$T$107,10,0)),"")))</f>
        <v>C10b</v>
      </c>
      <c r="Q16" s="62" t="str">
        <f>IF(OR($D16="",P16="← Enter #"),"",IF($G16="",VLOOKUP(O16,MatlsData,2,0),VLOOKUP($G16,'Templ-Cons'!$C$6:$T$107,10,0)))</f>
        <v>Composite Brick Foam 2x4 Steel Stud R11 #2</v>
      </c>
      <c r="R16" s="67"/>
      <c r="S16" s="56"/>
      <c r="T16" s="57" t="str">
        <f>IF($D16="","",IF(AND($F16="",S16=""),"← Enter #",IF(NOT($F16=""),IF(VLOOKUP($F16,'Templ-Cons'!$B$6:$T$107,12,0)="","",VLOOKUP($F16,'Templ-Cons'!$B$6:$T$107,12,0)),"")))</f>
        <v>C10c</v>
      </c>
      <c r="U16" s="57" t="str">
        <f>IF(OR($D16="",T16="← Enter #"),"",IF($G16="",VLOOKUP(S16,MatlsData,2,0),VLOOKUP($G16,'Templ-Cons'!$C$6:$T$107,12,0)))</f>
        <v>Composite Foam 2x6 Steel Stud R19 #1</v>
      </c>
      <c r="V16" s="66"/>
      <c r="W16" s="61"/>
      <c r="X16" s="62" t="str">
        <f>IF($D16="","",IF(AND($F16="",W16=""),"← Enter #",IF(NOT($F16=""),IF(VLOOKUP($F16,'Templ-Cons'!$B$6:$T$107,14,0)="","",VLOOKUP($F16,'Templ-Cons'!$B$6:$T$107,14,0)),"")))</f>
        <v/>
      </c>
      <c r="Y16" s="62">
        <f>IF(OR($D16="",X16="← Enter #"),"",IF($G16="",VLOOKUP(W16,MatlsData,2,0),VLOOKUP($G16,'Templ-Cons'!$C$6:$T$107,14,0)))</f>
        <v>0</v>
      </c>
      <c r="Z16" s="67"/>
      <c r="AA16" s="56"/>
      <c r="AB16" s="57" t="str">
        <f>IF($D16="","",IF(AND($F16="",AA16=""),"← Enter #",IF(NOT($F16=""),IF(VLOOKUP($F16,'Templ-Cons'!$B$6:$T$107,16,0)="","",VLOOKUP($F16,'Templ-Cons'!$B$6:$T$107,16,0)),"")))</f>
        <v/>
      </c>
      <c r="AC16" s="57">
        <f>IF(OR($D16="",AB16="← Enter #"),"",IF($G16="",VLOOKUP(AA16,MatlsData,2,0),VLOOKUP($G16,'Templ-Cons'!$C$6:$T$107,16,0)))</f>
        <v>0</v>
      </c>
      <c r="AD16" s="66"/>
      <c r="AE16" s="64"/>
      <c r="AG16" s="65" t="str">
        <f t="shared" si="1"/>
        <v>Grade Flr. Const.</v>
      </c>
    </row>
    <row r="17" spans="1:33" ht="84">
      <c r="A17" s="9"/>
      <c r="B17" s="53" t="str">
        <f>IF(C17=" ","",VLOOKUP(C17,AO$7:AP$16,2,0)&amp;TEXT((COUNTIF(C$7:C16,"="&amp;C17)+1),0))</f>
        <v>UW1</v>
      </c>
      <c r="C17" s="54" t="s">
        <v>60</v>
      </c>
      <c r="D17" s="54" t="s">
        <v>91</v>
      </c>
      <c r="E17" s="55"/>
      <c r="F17" s="56">
        <v>11</v>
      </c>
      <c r="G17" s="57" t="str">
        <f>IF($F17="","",VLOOKUP($F17,'Templ-Cons'!B$6:C$55,2,0))</f>
        <v>Composite 2-Core Filled Concrete Block Uninsulated</v>
      </c>
      <c r="H17" s="66"/>
      <c r="I17" s="59">
        <f t="shared" si="0"/>
        <v>2.5739172721722814</v>
      </c>
      <c r="J17" s="60">
        <f>IF(D17="","",IF(G17="",VLOOKUP(K17,MatlsData,6,0)+VLOOKUP(O17,MatlsData,6,0)+VLOOKUP(S17,MatlsData,6,0)+VLOOKUP(W17,MatlsData,6,0)+VLOOKUP(AA17,MatlsData,6,0),VLOOKUP(G17,'Templ-Cons'!C16:E85,3,0)))</f>
        <v>0.238512875223857</v>
      </c>
      <c r="K17" s="56"/>
      <c r="L17" s="57" t="str">
        <f>IF($D17="","",IF(AND($F17="",K17=""),"← Enter #",IF(NOT($F17=""),IF(VLOOKUP($F17,'Templ-Cons'!$B$6:$T$107,8,0)="","",VLOOKUP($F17,'Templ-Cons'!$B$6:$T$107,8,0)),"")))</f>
        <v>C11a</v>
      </c>
      <c r="M17" s="57" t="str">
        <f>IF(OR($D17="",L17="← Enter #"),"",IF($G17="",VLOOKUP(K17,MatlsData,2,0),VLOOKUP($G17,'Templ-Cons'!$C$6:$T$107,8,0)))</f>
        <v>Composite 2-Core Filled Concrete Block Uninsulated #3</v>
      </c>
      <c r="N17" s="66"/>
      <c r="O17" s="61"/>
      <c r="P17" s="62" t="str">
        <f>IF($D17="","",IF(AND($F17="",O17=""),"← Enter #",IF(NOT($F17=""),IF(VLOOKUP($F17,'Templ-Cons'!$B$6:$T$107,10,0)="","",VLOOKUP($F17,'Templ-Cons'!$B$6:$T$107,10,0)),"")))</f>
        <v>C11b</v>
      </c>
      <c r="Q17" s="62" t="str">
        <f>IF(OR($D17="",P17="← Enter #"),"",IF($G17="",VLOOKUP(O17,MatlsData,2,0),VLOOKUP($G17,'Templ-Cons'!$C$6:$T$107,10,0)))</f>
        <v>Composite 2-Core Filled Concrete Block Uninsulated #2</v>
      </c>
      <c r="R17" s="67"/>
      <c r="S17" s="56"/>
      <c r="T17" s="57" t="str">
        <f>IF($D17="","",IF(AND($F17="",S17=""),"← Enter #",IF(NOT($F17=""),IF(VLOOKUP($F17,'Templ-Cons'!$B$6:$T$107,12,0)="","",VLOOKUP($F17,'Templ-Cons'!$B$6:$T$107,12,0)),"")))</f>
        <v>C11c</v>
      </c>
      <c r="U17" s="57" t="str">
        <f>IF(OR($D17="",T17="← Enter #"),"",IF($G17="",VLOOKUP(S17,MatlsData,2,0),VLOOKUP($G17,'Templ-Cons'!$C$6:$T$107,12,0)))</f>
        <v>Composite 2-Core Filled Concrete Block Uninsulated #1</v>
      </c>
      <c r="V17" s="66"/>
      <c r="W17" s="61"/>
      <c r="X17" s="62" t="str">
        <f>IF($D17="","",IF(AND($F17="",W17=""),"← Enter #",IF(NOT($F17=""),IF(VLOOKUP($F17,'Templ-Cons'!$B$6:$T$107,14,0)="","",VLOOKUP($F17,'Templ-Cons'!$B$6:$T$107,14,0)),"")))</f>
        <v/>
      </c>
      <c r="Y17" s="62">
        <f>IF(OR($D17="",X17="← Enter #"),"",IF($G17="",VLOOKUP(W17,MatlsData,2,0),VLOOKUP($G17,'Templ-Cons'!$C$6:$T$107,14,0)))</f>
        <v>0</v>
      </c>
      <c r="Z17" s="67"/>
      <c r="AA17" s="56"/>
      <c r="AB17" s="57" t="str">
        <f>IF($D17="","",IF(AND($F17="",AA17=""),"← Enter #",IF(NOT($F17=""),IF(VLOOKUP($F17,'Templ-Cons'!$B$6:$T$107,16,0)="","",VLOOKUP($F17,'Templ-Cons'!$B$6:$T$107,16,0)),"")))</f>
        <v/>
      </c>
      <c r="AC17" s="57">
        <f>IF(OR($D17="",AB17="← Enter #"),"",IF($G17="",VLOOKUP(AA17,MatlsData,2,0),VLOOKUP($G17,'Templ-Cons'!$C$6:$T$107,16,0)))</f>
        <v>0</v>
      </c>
      <c r="AD17" s="66"/>
      <c r="AE17" s="64"/>
      <c r="AG17" s="65" t="str">
        <f t="shared" si="1"/>
        <v>Und. Wall Const.</v>
      </c>
    </row>
    <row r="18" spans="1:33" ht="36">
      <c r="A18" s="9"/>
      <c r="B18" s="53" t="str">
        <f>IF(C18=" ","",VLOOKUP(C18,AO$7:AP$16,2,0)&amp;TEXT((COUNTIF(C$7:C17,"="&amp;C18)+1),0))</f>
        <v>RF1</v>
      </c>
      <c r="C18" s="54" t="s">
        <v>86</v>
      </c>
      <c r="D18" s="54" t="s">
        <v>92</v>
      </c>
      <c r="E18" s="55"/>
      <c r="F18" s="56">
        <v>13</v>
      </c>
      <c r="G18" s="57" t="str">
        <f>IF($F18="","",VLOOKUP($F18,'Templ-Cons'!B$6:C$55,2,0))</f>
        <v>Light Roof/Ceiling</v>
      </c>
      <c r="H18" s="66"/>
      <c r="I18" s="59">
        <f t="shared" si="0"/>
        <v>1.5150793272666625</v>
      </c>
      <c r="J18" s="60">
        <f>IF(D18="","",IF(G18="",VLOOKUP(K18,MatlsData,6,0)+VLOOKUP(O18,MatlsData,6,0)+VLOOKUP(S18,MatlsData,6,0)+VLOOKUP(W18,MatlsData,6,0)+VLOOKUP(AA18,MatlsData,6,0),VLOOKUP(G18,'Templ-Cons'!C17:E86,3,0)))</f>
        <v>0.51003144654088095</v>
      </c>
      <c r="K18" s="56"/>
      <c r="L18" s="57" t="str">
        <f>IF($D18="","",IF(AND($F18="",K18=""),"← Enter #",IF(NOT($F18=""),IF(VLOOKUP($F18,'Templ-Cons'!$B$6:$T$107,8,0)="","",VLOOKUP($F18,'Templ-Cons'!$B$6:$T$107,8,0)),"")))</f>
        <v>M11</v>
      </c>
      <c r="M18" s="57" t="str">
        <f>IF(OR($D18="",L18="← Enter #"),"",IF($G18="",VLOOKUP(K18,MatlsData,2,0),VLOOKUP($G18,'Templ-Cons'!$C$6:$T$107,8,0)))</f>
        <v>100mm lightweight concrete</v>
      </c>
      <c r="N18" s="66"/>
      <c r="O18" s="61"/>
      <c r="P18" s="62" t="str">
        <f>IF($D18="","",IF(AND($F18="",O18=""),"← Enter #",IF(NOT($F18=""),IF(VLOOKUP($F18,'Templ-Cons'!$B$6:$T$107,10,0)="","",VLOOKUP($F18,'Templ-Cons'!$B$6:$T$107,10,0)),"")))</f>
        <v>F05</v>
      </c>
      <c r="Q18" s="62" t="str">
        <f>IF(OR($D18="",P18="← Enter #"),"",IF($G18="",VLOOKUP(O18,MatlsData,2,0),VLOOKUP($G18,'Templ-Cons'!$C$6:$T$107,10,0)))</f>
        <v>Ceiling air space resistance</v>
      </c>
      <c r="R18" s="67"/>
      <c r="S18" s="56"/>
      <c r="T18" s="57" t="str">
        <f>IF($D18="","",IF(AND($F18="",S18=""),"← Enter #",IF(NOT($F18=""),IF(VLOOKUP($F18,'Templ-Cons'!$B$6:$T$107,12,0)="","",VLOOKUP($F18,'Templ-Cons'!$B$6:$T$107,12,0)),"")))</f>
        <v>F16</v>
      </c>
      <c r="U18" s="57" t="str">
        <f>IF(OR($D18="",T18="← Enter #"),"",IF($G18="",VLOOKUP(S18,MatlsData,2,0),VLOOKUP($G18,'Templ-Cons'!$C$6:$T$107,12,0)))</f>
        <v>Acoustic tile</v>
      </c>
      <c r="V18" s="66"/>
      <c r="W18" s="61"/>
      <c r="X18" s="62" t="str">
        <f>IF($D18="","",IF(AND($F18="",W18=""),"← Enter #",IF(NOT($F18=""),IF(VLOOKUP($F18,'Templ-Cons'!$B$6:$T$107,14,0)="","",VLOOKUP($F18,'Templ-Cons'!$B$6:$T$107,14,0)),"")))</f>
        <v/>
      </c>
      <c r="Y18" s="62">
        <f>IF(OR($D18="",X18="← Enter #"),"",IF($G18="",VLOOKUP(W18,MatlsData,2,0),VLOOKUP($G18,'Templ-Cons'!$C$6:$T$107,14,0)))</f>
        <v>0</v>
      </c>
      <c r="Z18" s="67"/>
      <c r="AA18" s="56"/>
      <c r="AB18" s="57" t="str">
        <f>IF($D18="","",IF(AND($F18="",AA18=""),"← Enter #",IF(NOT($F18=""),IF(VLOOKUP($F18,'Templ-Cons'!$B$6:$T$107,16,0)="","",VLOOKUP($F18,'Templ-Cons'!$B$6:$T$107,16,0)),"")))</f>
        <v/>
      </c>
      <c r="AC18" s="57">
        <f>IF(OR($D18="",AB18="← Enter #"),"",IF($G18="",VLOOKUP(AA18,MatlsData,2,0),VLOOKUP($G18,'Templ-Cons'!$C$6:$T$107,16,0)))</f>
        <v>0</v>
      </c>
      <c r="AD18" s="66"/>
      <c r="AE18" s="64"/>
      <c r="AG18" s="65" t="str">
        <f t="shared" si="1"/>
        <v>Roof Const.</v>
      </c>
    </row>
    <row r="19" spans="1:33">
      <c r="A19" s="9"/>
      <c r="B19" s="53" t="e">
        <f>IF(C19=" ","",VLOOKUP(C19,AO$7:AP$16,2,0)&amp;TEXT((COUNTIF(C$7:C18,"="&amp;C19)+1),0))</f>
        <v>#N/A</v>
      </c>
      <c r="C19" s="54" t="s">
        <v>93</v>
      </c>
      <c r="D19" s="54"/>
      <c r="E19" s="55"/>
      <c r="F19" s="56"/>
      <c r="G19" s="57" t="str">
        <f>IF($F19="","",VLOOKUP($F19,'Templ-Cons'!B$6:C$55,2,0))</f>
        <v/>
      </c>
      <c r="H19" s="66"/>
      <c r="I19" s="68" t="str">
        <f t="shared" si="0"/>
        <v/>
      </c>
      <c r="J19" s="67" t="str">
        <f>IF(D19="","",IF(G19="",VLOOKUP(K19,MatlsData,6,0)+VLOOKUP(O19,MatlsData,6,0)+VLOOKUP(S19,MatlsData,6,0)+VLOOKUP(W19,MatlsData,6,0)+VLOOKUP(AA19,MatlsData,6,0),VLOOKUP(G19,'Templ-Cons'!C18:E87,3,0)))</f>
        <v/>
      </c>
      <c r="K19" s="56"/>
      <c r="L19" s="57" t="str">
        <f>IF($D19="","",IF(AND($F19="",K19=""),"← Enter #",IF(NOT($F19=""),IF(VLOOKUP($F19,'Templ-Cons'!$B$6:$T$107,8,0)="","",VLOOKUP($F19,'Templ-Cons'!$B$6:$T$107,8,0)),"")))</f>
        <v/>
      </c>
      <c r="M19" s="57" t="str">
        <f>IF(OR($D19="",L19="← Enter #"),"",IF($G19="",VLOOKUP(K19,MatlsData,2,0),VLOOKUP($G19,'Templ-Cons'!$C$6:$T$107,8,0)))</f>
        <v/>
      </c>
      <c r="N19" s="66"/>
      <c r="O19" s="61"/>
      <c r="P19" s="62" t="str">
        <f>IF($D19="","",IF(AND($F19="",O19=""),"← Enter #",IF(NOT($F19=""),IF(VLOOKUP($F19,'Templ-Cons'!$B$6:$T$107,10,0)="","",VLOOKUP($F19,'Templ-Cons'!$B$6:$T$107,10,0)),"")))</f>
        <v/>
      </c>
      <c r="Q19" s="62" t="str">
        <f>IF(OR($D19="",P19="← Enter #"),"",IF($G19="",VLOOKUP(O19,MatlsData,2,0),VLOOKUP($G19,'Templ-Cons'!$C$6:$T$107,10,0)))</f>
        <v/>
      </c>
      <c r="R19" s="67"/>
      <c r="S19" s="56"/>
      <c r="T19" s="57" t="str">
        <f>IF($D19="","",IF(AND($F19="",S19=""),"← Enter #",IF(NOT($F19=""),IF(VLOOKUP($F19,'Templ-Cons'!$B$6:$T$107,12,0)="","",VLOOKUP($F19,'Templ-Cons'!$B$6:$T$107,12,0)),"")))</f>
        <v/>
      </c>
      <c r="U19" s="57" t="str">
        <f>IF(OR($D19="",T19="← Enter #"),"",IF($G19="",VLOOKUP(S19,MatlsData,2,0),VLOOKUP($G19,'Templ-Cons'!$C$6:$T$107,12,0)))</f>
        <v/>
      </c>
      <c r="V19" s="66"/>
      <c r="W19" s="61"/>
      <c r="X19" s="62" t="str">
        <f>IF($D19="","",IF(AND($F19="",W19=""),"← Enter #",IF(NOT($F19=""),IF(VLOOKUP($F19,'Templ-Cons'!$B$6:$T$107,14,0)="","",VLOOKUP($F19,'Templ-Cons'!$B$6:$T$107,14,0)),"")))</f>
        <v/>
      </c>
      <c r="Y19" s="62" t="str">
        <f>IF(OR($D19="",X19="← Enter #"),"",IF($G19="",VLOOKUP(W19,MatlsData,2,0),VLOOKUP($G19,'Templ-Cons'!$C$6:$T$107,14,0)))</f>
        <v/>
      </c>
      <c r="Z19" s="67"/>
      <c r="AA19" s="56"/>
      <c r="AB19" s="57" t="str">
        <f>IF($D19="","",IF(AND($F19="",AA19=""),"← Enter #",IF(NOT($F19=""),IF(VLOOKUP($F19,'Templ-Cons'!$B$6:$T$107,16,0)="","",VLOOKUP($F19,'Templ-Cons'!$B$6:$T$107,16,0)),"")))</f>
        <v/>
      </c>
      <c r="AC19" s="57" t="str">
        <f>IF(OR($D19="",AB19="← Enter #"),"",IF($G19="",VLOOKUP(AA19,MatlsData,2,0),VLOOKUP($G19,'Templ-Cons'!$C$6:$T$107,16,0)))</f>
        <v/>
      </c>
      <c r="AD19" s="66"/>
      <c r="AE19" s="64"/>
      <c r="AG19" s="65" t="e">
        <f t="shared" si="1"/>
        <v>#N/A</v>
      </c>
    </row>
    <row r="20" spans="1:33">
      <c r="A20" s="9"/>
      <c r="B20" s="53" t="e">
        <f>IF(C20=" ","",VLOOKUP(C20,AO$7:AP$16,2,0)&amp;TEXT((COUNTIF(C$7:C19,"="&amp;C20)+1),0))</f>
        <v>#N/A</v>
      </c>
      <c r="C20" s="54" t="s">
        <v>93</v>
      </c>
      <c r="D20" s="54"/>
      <c r="E20" s="55"/>
      <c r="F20" s="56"/>
      <c r="G20" s="57" t="str">
        <f>IF($F20="","",VLOOKUP($F20,'Templ-Cons'!B$6:C$55,2,0))</f>
        <v/>
      </c>
      <c r="H20" s="66"/>
      <c r="I20" s="68" t="str">
        <f t="shared" si="0"/>
        <v/>
      </c>
      <c r="J20" s="67" t="str">
        <f>IF(D20="","",IF(G20="",VLOOKUP(K20,MatlsData,6,0)+VLOOKUP(O20,MatlsData,6,0)+VLOOKUP(S20,MatlsData,6,0)+VLOOKUP(W20,MatlsData,6,0)+VLOOKUP(AA20,MatlsData,6,0),VLOOKUP(G20,'Templ-Cons'!C19:E88,3,0)))</f>
        <v/>
      </c>
      <c r="K20" s="56"/>
      <c r="L20" s="57" t="str">
        <f>IF($D20="","",IF(AND($F20="",K20=""),"← Enter #",IF(NOT($F20=""),IF(VLOOKUP($F20,'Templ-Cons'!$B$6:$T$107,8,0)="","",VLOOKUP($F20,'Templ-Cons'!$B$6:$T$107,8,0)),"")))</f>
        <v/>
      </c>
      <c r="M20" s="57" t="str">
        <f>IF(OR($D20="",L20="← Enter #"),"",IF($G20="",VLOOKUP(K20,MatlsData,2,0),VLOOKUP($G20,'Templ-Cons'!$C$6:$T$107,8,0)))</f>
        <v/>
      </c>
      <c r="N20" s="66"/>
      <c r="O20" s="61"/>
      <c r="P20" s="62" t="str">
        <f>IF($D20="","",IF(AND($F20="",O20=""),"← Enter #",IF(NOT($F20=""),IF(VLOOKUP($F20,'Templ-Cons'!$B$6:$T$107,10,0)="","",VLOOKUP($F20,'Templ-Cons'!$B$6:$T$107,10,0)),"")))</f>
        <v/>
      </c>
      <c r="Q20" s="62" t="str">
        <f>IF(OR($D20="",P20="← Enter #"),"",IF($G20="",VLOOKUP(O20,MatlsData,2,0),VLOOKUP($G20,'Templ-Cons'!$C$6:$T$107,10,0)))</f>
        <v/>
      </c>
      <c r="R20" s="67"/>
      <c r="S20" s="56"/>
      <c r="T20" s="57" t="str">
        <f>IF($D20="","",IF(AND($F20="",S20=""),"← Enter #",IF(NOT($F20=""),IF(VLOOKUP($F20,'Templ-Cons'!$B$6:$T$107,12,0)="","",VLOOKUP($F20,'Templ-Cons'!$B$6:$T$107,12,0)),"")))</f>
        <v/>
      </c>
      <c r="U20" s="57" t="str">
        <f>IF(OR($D20="",T20="← Enter #"),"",IF($G20="",VLOOKUP(S20,MatlsData,2,0),VLOOKUP($G20,'Templ-Cons'!$C$6:$T$107,12,0)))</f>
        <v/>
      </c>
      <c r="V20" s="66"/>
      <c r="W20" s="61"/>
      <c r="X20" s="62" t="str">
        <f>IF($D20="","",IF(AND($F20="",W20=""),"← Enter #",IF(NOT($F20=""),IF(VLOOKUP($F20,'Templ-Cons'!$B$6:$T$107,14,0)="","",VLOOKUP($F20,'Templ-Cons'!$B$6:$T$107,14,0)),"")))</f>
        <v/>
      </c>
      <c r="Y20" s="62" t="str">
        <f>IF(OR($D20="",X20="← Enter #"),"",IF($G20="",VLOOKUP(W20,MatlsData,2,0),VLOOKUP($G20,'Templ-Cons'!$C$6:$T$107,14,0)))</f>
        <v/>
      </c>
      <c r="Z20" s="67"/>
      <c r="AA20" s="56"/>
      <c r="AB20" s="57" t="str">
        <f>IF($D20="","",IF(AND($F20="",AA20=""),"← Enter #",IF(NOT($F20=""),IF(VLOOKUP($F20,'Templ-Cons'!$B$6:$T$107,16,0)="","",VLOOKUP($F20,'Templ-Cons'!$B$6:$T$107,16,0)),"")))</f>
        <v/>
      </c>
      <c r="AC20" s="57" t="str">
        <f>IF(OR($D20="",AB20="← Enter #"),"",IF($G20="",VLOOKUP(AA20,MatlsData,2,0),VLOOKUP($G20,'Templ-Cons'!$C$6:$T$107,16,0)))</f>
        <v/>
      </c>
      <c r="AD20" s="66"/>
      <c r="AE20" s="64"/>
      <c r="AG20" s="65" t="e">
        <f t="shared" si="1"/>
        <v>#N/A</v>
      </c>
    </row>
    <row r="21" spans="1:33">
      <c r="A21" s="9"/>
      <c r="B21" s="53" t="e">
        <f>IF(C21=" ","",VLOOKUP(C21,AO$7:AP$16,2,0)&amp;TEXT((COUNTIF(C$7:C20,"="&amp;C21)+1),0))</f>
        <v>#N/A</v>
      </c>
      <c r="C21" s="54" t="s">
        <v>93</v>
      </c>
      <c r="D21" s="54"/>
      <c r="E21" s="55"/>
      <c r="F21" s="56"/>
      <c r="G21" s="57" t="str">
        <f>IF($F21="","",VLOOKUP($F21,'Templ-Cons'!B$6:C$55,2,0))</f>
        <v/>
      </c>
      <c r="H21" s="66"/>
      <c r="I21" s="68" t="str">
        <f t="shared" si="0"/>
        <v/>
      </c>
      <c r="J21" s="67" t="str">
        <f>IF(D21="","",IF(G21="",VLOOKUP(K21,MatlsData,6,0)+VLOOKUP(O21,MatlsData,6,0)+VLOOKUP(S21,MatlsData,6,0)+VLOOKUP(W21,MatlsData,6,0)+VLOOKUP(AA21,MatlsData,6,0),VLOOKUP(G21,'Templ-Cons'!C20:E89,3,0)))</f>
        <v/>
      </c>
      <c r="K21" s="56"/>
      <c r="L21" s="57" t="str">
        <f>IF($D21="","",IF(AND($F21="",K21=""),"← Enter #",IF(NOT($F21=""),IF(VLOOKUP($F21,'Templ-Cons'!$B$6:$T$107,8,0)="","",VLOOKUP($F21,'Templ-Cons'!$B$6:$T$107,8,0)),"")))</f>
        <v/>
      </c>
      <c r="M21" s="57" t="str">
        <f>IF(OR($D21="",L21="← Enter #"),"",IF($G21="",VLOOKUP(K21,MatlsData,2,0),VLOOKUP($G21,'Templ-Cons'!$C$6:$T$107,8,0)))</f>
        <v/>
      </c>
      <c r="N21" s="66"/>
      <c r="O21" s="61"/>
      <c r="P21" s="62" t="str">
        <f>IF($D21="","",IF(AND($F21="",O21=""),"← Enter #",IF(NOT($F21=""),IF(VLOOKUP($F21,'Templ-Cons'!$B$6:$T$107,10,0)="","",VLOOKUP($F21,'Templ-Cons'!$B$6:$T$107,10,0)),"")))</f>
        <v/>
      </c>
      <c r="Q21" s="62" t="str">
        <f>IF(OR($D21="",P21="← Enter #"),"",IF($G21="",VLOOKUP(O21,MatlsData,2,0),VLOOKUP($G21,'Templ-Cons'!$C$6:$T$107,10,0)))</f>
        <v/>
      </c>
      <c r="R21" s="67"/>
      <c r="S21" s="56"/>
      <c r="T21" s="57" t="str">
        <f>IF($D21="","",IF(AND($F21="",S21=""),"← Enter #",IF(NOT($F21=""),IF(VLOOKUP($F21,'Templ-Cons'!$B$6:$T$107,12,0)="","",VLOOKUP($F21,'Templ-Cons'!$B$6:$T$107,12,0)),"")))</f>
        <v/>
      </c>
      <c r="U21" s="57" t="str">
        <f>IF(OR($D21="",T21="← Enter #"),"",IF($G21="",VLOOKUP(S21,MatlsData,2,0),VLOOKUP($G21,'Templ-Cons'!$C$6:$T$107,12,0)))</f>
        <v/>
      </c>
      <c r="V21" s="66"/>
      <c r="W21" s="61"/>
      <c r="X21" s="62" t="str">
        <f>IF($D21="","",IF(AND($F21="",W21=""),"← Enter #",IF(NOT($F21=""),IF(VLOOKUP($F21,'Templ-Cons'!$B$6:$T$107,14,0)="","",VLOOKUP($F21,'Templ-Cons'!$B$6:$T$107,14,0)),"")))</f>
        <v/>
      </c>
      <c r="Y21" s="62" t="str">
        <f>IF(OR($D21="",X21="← Enter #"),"",IF($G21="",VLOOKUP(W21,MatlsData,2,0),VLOOKUP($G21,'Templ-Cons'!$C$6:$T$107,14,0)))</f>
        <v/>
      </c>
      <c r="Z21" s="67"/>
      <c r="AA21" s="56"/>
      <c r="AB21" s="57" t="str">
        <f>IF($D21="","",IF(AND($F21="",AA21=""),"← Enter #",IF(NOT($F21=""),IF(VLOOKUP($F21,'Templ-Cons'!$B$6:$T$107,16,0)="","",VLOOKUP($F21,'Templ-Cons'!$B$6:$T$107,16,0)),"")))</f>
        <v/>
      </c>
      <c r="AC21" s="57" t="str">
        <f>IF(OR($D21="",AB21="← Enter #"),"",IF($G21="",VLOOKUP(AA21,MatlsData,2,0),VLOOKUP($G21,'Templ-Cons'!$C$6:$T$107,16,0)))</f>
        <v/>
      </c>
      <c r="AD21" s="66"/>
      <c r="AE21" s="64"/>
      <c r="AG21" s="65" t="e">
        <f t="shared" si="1"/>
        <v>#N/A</v>
      </c>
    </row>
    <row r="22" spans="1:33">
      <c r="A22" s="9"/>
      <c r="B22" s="53" t="e">
        <f>IF(C22=" ","",VLOOKUP(C22,AO$7:AP$16,2,0)&amp;TEXT((COUNTIF(C$7:C21,"="&amp;C22)+1),0))</f>
        <v>#N/A</v>
      </c>
      <c r="C22" s="54" t="s">
        <v>93</v>
      </c>
      <c r="D22" s="54"/>
      <c r="E22" s="55"/>
      <c r="F22" s="56"/>
      <c r="G22" s="57" t="str">
        <f>IF($F22="","",VLOOKUP($F22,'Templ-Cons'!B$6:C$55,2,0))</f>
        <v/>
      </c>
      <c r="H22" s="66"/>
      <c r="I22" s="68" t="str">
        <f t="shared" si="0"/>
        <v/>
      </c>
      <c r="J22" s="67" t="str">
        <f>IF(D22="","",IF(G22="",VLOOKUP(K22,MatlsData,6,0)+VLOOKUP(O22,MatlsData,6,0)+VLOOKUP(S22,MatlsData,6,0)+VLOOKUP(W22,MatlsData,6,0)+VLOOKUP(AA22,MatlsData,6,0),VLOOKUP(G22,'Templ-Cons'!C21:E90,3,0)))</f>
        <v/>
      </c>
      <c r="K22" s="56"/>
      <c r="L22" s="57" t="str">
        <f>IF($D22="","",IF(AND($F22="",K22=""),"← Enter #",IF(NOT($F22=""),IF(VLOOKUP($F22,'Templ-Cons'!$B$6:$T$107,8,0)="","",VLOOKUP($F22,'Templ-Cons'!$B$6:$T$107,8,0)),"")))</f>
        <v/>
      </c>
      <c r="M22" s="57" t="str">
        <f>IF(OR($D22="",L22="← Enter #"),"",IF($G22="",VLOOKUP(K22,MatlsData,2,0),VLOOKUP($G22,'Templ-Cons'!$C$6:$T$107,8,0)))</f>
        <v/>
      </c>
      <c r="N22" s="66"/>
      <c r="O22" s="61"/>
      <c r="P22" s="62" t="str">
        <f>IF($D22="","",IF(AND($F22="",O22=""),"← Enter #",IF(NOT($F22=""),IF(VLOOKUP($F22,'Templ-Cons'!$B$6:$T$107,10,0)="","",VLOOKUP($F22,'Templ-Cons'!$B$6:$T$107,10,0)),"")))</f>
        <v/>
      </c>
      <c r="Q22" s="62" t="str">
        <f>IF(OR($D22="",P22="← Enter #"),"",IF($G22="",VLOOKUP(O22,MatlsData,2,0),VLOOKUP($G22,'Templ-Cons'!$C$6:$T$107,10,0)))</f>
        <v/>
      </c>
      <c r="R22" s="67"/>
      <c r="S22" s="56"/>
      <c r="T22" s="57" t="str">
        <f>IF($D22="","",IF(AND($F22="",S22=""),"← Enter #",IF(NOT($F22=""),IF(VLOOKUP($F22,'Templ-Cons'!$B$6:$T$107,12,0)="","",VLOOKUP($F22,'Templ-Cons'!$B$6:$T$107,12,0)),"")))</f>
        <v/>
      </c>
      <c r="U22" s="57" t="str">
        <f>IF(OR($D22="",T22="← Enter #"),"",IF($G22="",VLOOKUP(S22,MatlsData,2,0),VLOOKUP($G22,'Templ-Cons'!$C$6:$T$107,12,0)))</f>
        <v/>
      </c>
      <c r="V22" s="66"/>
      <c r="W22" s="61"/>
      <c r="X22" s="62" t="str">
        <f>IF($D22="","",IF(AND($F22="",W22=""),"← Enter #",IF(NOT($F22=""),IF(VLOOKUP($F22,'Templ-Cons'!$B$6:$T$107,14,0)="","",VLOOKUP($F22,'Templ-Cons'!$B$6:$T$107,14,0)),"")))</f>
        <v/>
      </c>
      <c r="Y22" s="62" t="str">
        <f>IF(OR($D22="",X22="← Enter #"),"",IF($G22="",VLOOKUP(W22,MatlsData,2,0),VLOOKUP($G22,'Templ-Cons'!$C$6:$T$107,14,0)))</f>
        <v/>
      </c>
      <c r="Z22" s="67"/>
      <c r="AA22" s="56"/>
      <c r="AB22" s="57" t="str">
        <f>IF($D22="","",IF(AND($F22="",AA22=""),"← Enter #",IF(NOT($F22=""),IF(VLOOKUP($F22,'Templ-Cons'!$B$6:$T$107,16,0)="","",VLOOKUP($F22,'Templ-Cons'!$B$6:$T$107,16,0)),"")))</f>
        <v/>
      </c>
      <c r="AC22" s="57" t="str">
        <f>IF(OR($D22="",AB22="← Enter #"),"",IF($G22="",VLOOKUP(AA22,MatlsData,2,0),VLOOKUP($G22,'Templ-Cons'!$C$6:$T$107,16,0)))</f>
        <v/>
      </c>
      <c r="AD22" s="66"/>
      <c r="AE22" s="64"/>
      <c r="AG22" s="65" t="e">
        <f t="shared" si="1"/>
        <v>#N/A</v>
      </c>
    </row>
    <row r="23" spans="1:33">
      <c r="A23" s="9"/>
      <c r="B23" s="53" t="e">
        <f>IF(C23=" ","",VLOOKUP(C23,AO$7:AP$16,2,0)&amp;TEXT((COUNTIF(C$7:C22,"="&amp;C23)+1),0))</f>
        <v>#N/A</v>
      </c>
      <c r="C23" s="54" t="s">
        <v>93</v>
      </c>
      <c r="D23" s="54"/>
      <c r="E23" s="55"/>
      <c r="F23" s="56"/>
      <c r="G23" s="57" t="str">
        <f>IF($F23="","",VLOOKUP($F23,'Templ-Cons'!B$6:C$55,2,0))</f>
        <v/>
      </c>
      <c r="H23" s="66"/>
      <c r="I23" s="68" t="str">
        <f t="shared" si="0"/>
        <v/>
      </c>
      <c r="J23" s="67" t="str">
        <f>IF(D23="","",IF(G23="",VLOOKUP(K23,MatlsData,6,0)+VLOOKUP(O23,MatlsData,6,0)+VLOOKUP(S23,MatlsData,6,0)+VLOOKUP(W23,MatlsData,6,0)+VLOOKUP(AA23,MatlsData,6,0),VLOOKUP(G23,'Templ-Cons'!C22:E91,3,0)))</f>
        <v/>
      </c>
      <c r="K23" s="56"/>
      <c r="L23" s="57" t="str">
        <f>IF($D23="","",IF(AND($F23="",K23=""),"← Enter #",IF(NOT($F23=""),IF(VLOOKUP($F23,'Templ-Cons'!$B$6:$T$107,8,0)="","",VLOOKUP($F23,'Templ-Cons'!$B$6:$T$107,8,0)),"")))</f>
        <v/>
      </c>
      <c r="M23" s="57" t="str">
        <f>IF(OR($D23="",L23="← Enter #"),"",IF($G23="",VLOOKUP(K23,MatlsData,2,0),VLOOKUP($G23,'Templ-Cons'!$C$6:$T$107,8,0)))</f>
        <v/>
      </c>
      <c r="N23" s="66"/>
      <c r="O23" s="61"/>
      <c r="P23" s="62" t="str">
        <f>IF($D23="","",IF(AND($F23="",O23=""),"← Enter #",IF(NOT($F23=""),IF(VLOOKUP($F23,'Templ-Cons'!$B$6:$T$107,10,0)="","",VLOOKUP($F23,'Templ-Cons'!$B$6:$T$107,10,0)),"")))</f>
        <v/>
      </c>
      <c r="Q23" s="62" t="str">
        <f>IF(OR($D23="",P23="← Enter #"),"",IF($G23="",VLOOKUP(O23,MatlsData,2,0),VLOOKUP($G23,'Templ-Cons'!$C$6:$T$107,10,0)))</f>
        <v/>
      </c>
      <c r="R23" s="67"/>
      <c r="S23" s="56"/>
      <c r="T23" s="57" t="str">
        <f>IF($D23="","",IF(AND($F23="",S23=""),"← Enter #",IF(NOT($F23=""),IF(VLOOKUP($F23,'Templ-Cons'!$B$6:$T$107,12,0)="","",VLOOKUP($F23,'Templ-Cons'!$B$6:$T$107,12,0)),"")))</f>
        <v/>
      </c>
      <c r="U23" s="57" t="str">
        <f>IF(OR($D23="",T23="← Enter #"),"",IF($G23="",VLOOKUP(S23,MatlsData,2,0),VLOOKUP($G23,'Templ-Cons'!$C$6:$T$107,12,0)))</f>
        <v/>
      </c>
      <c r="V23" s="66"/>
      <c r="W23" s="61"/>
      <c r="X23" s="62" t="str">
        <f>IF($D23="","",IF(AND($F23="",W23=""),"← Enter #",IF(NOT($F23=""),IF(VLOOKUP($F23,'Templ-Cons'!$B$6:$T$107,14,0)="","",VLOOKUP($F23,'Templ-Cons'!$B$6:$T$107,14,0)),"")))</f>
        <v/>
      </c>
      <c r="Y23" s="62" t="str">
        <f>IF(OR($D23="",X23="← Enter #"),"",IF($G23="",VLOOKUP(W23,MatlsData,2,0),VLOOKUP($G23,'Templ-Cons'!$C$6:$T$107,14,0)))</f>
        <v/>
      </c>
      <c r="Z23" s="67"/>
      <c r="AA23" s="56"/>
      <c r="AB23" s="57" t="str">
        <f>IF($D23="","",IF(AND($F23="",AA23=""),"← Enter #",IF(NOT($F23=""),IF(VLOOKUP($F23,'Templ-Cons'!$B$6:$T$107,16,0)="","",VLOOKUP($F23,'Templ-Cons'!$B$6:$T$107,16,0)),"")))</f>
        <v/>
      </c>
      <c r="AC23" s="57" t="str">
        <f>IF(OR($D23="",AB23="← Enter #"),"",IF($G23="",VLOOKUP(AA23,MatlsData,2,0),VLOOKUP($G23,'Templ-Cons'!$C$6:$T$107,16,0)))</f>
        <v/>
      </c>
      <c r="AD23" s="66"/>
      <c r="AE23" s="64"/>
      <c r="AG23" s="65" t="e">
        <f t="shared" si="1"/>
        <v>#N/A</v>
      </c>
    </row>
    <row r="24" spans="1:33">
      <c r="A24" s="9"/>
      <c r="B24" s="53" t="e">
        <f>IF(C24=" ","",VLOOKUP(C24,AO$7:AP$16,2,0)&amp;TEXT((COUNTIF(C$7:C23,"="&amp;C24)+1),0))</f>
        <v>#N/A</v>
      </c>
      <c r="C24" s="54" t="s">
        <v>93</v>
      </c>
      <c r="D24" s="54"/>
      <c r="E24" s="55"/>
      <c r="F24" s="56"/>
      <c r="G24" s="57" t="str">
        <f>IF($F24="","",VLOOKUP($F24,'Templ-Cons'!B$6:C$55,2,0))</f>
        <v/>
      </c>
      <c r="H24" s="66"/>
      <c r="I24" s="68" t="str">
        <f t="shared" si="0"/>
        <v/>
      </c>
      <c r="J24" s="67" t="str">
        <f>IF(D24="","",IF(G24="",VLOOKUP(K24,MatlsData,6,0)+VLOOKUP(O24,MatlsData,6,0)+VLOOKUP(S24,MatlsData,6,0)+VLOOKUP(W24,MatlsData,6,0)+VLOOKUP(AA24,MatlsData,6,0),VLOOKUP(G24,'Templ-Cons'!C23:E92,3,0)))</f>
        <v/>
      </c>
      <c r="K24" s="56"/>
      <c r="L24" s="57" t="str">
        <f>IF($D24="","",IF(AND($F24="",K24=""),"← Enter #",IF(NOT($F24=""),IF(VLOOKUP($F24,'Templ-Cons'!$B$6:$T$107,8,0)="","",VLOOKUP($F24,'Templ-Cons'!$B$6:$T$107,8,0)),"")))</f>
        <v/>
      </c>
      <c r="M24" s="57" t="str">
        <f>IF(OR($D24="",L24="← Enter #"),"",IF($G24="",VLOOKUP(K24,MatlsData,2,0),VLOOKUP($G24,'Templ-Cons'!$C$6:$T$107,8,0)))</f>
        <v/>
      </c>
      <c r="N24" s="66"/>
      <c r="O24" s="61"/>
      <c r="P24" s="62" t="str">
        <f>IF($D24="","",IF(AND($F24="",O24=""),"← Enter #",IF(NOT($F24=""),IF(VLOOKUP($F24,'Templ-Cons'!$B$6:$T$107,10,0)="","",VLOOKUP($F24,'Templ-Cons'!$B$6:$T$107,10,0)),"")))</f>
        <v/>
      </c>
      <c r="Q24" s="62" t="str">
        <f>IF(OR($D24="",P24="← Enter #"),"",IF($G24="",VLOOKUP(O24,MatlsData,2,0),VLOOKUP($G24,'Templ-Cons'!$C$6:$T$107,10,0)))</f>
        <v/>
      </c>
      <c r="R24" s="67"/>
      <c r="S24" s="56"/>
      <c r="T24" s="57" t="str">
        <f>IF($D24="","",IF(AND($F24="",S24=""),"← Enter #",IF(NOT($F24=""),IF(VLOOKUP($F24,'Templ-Cons'!$B$6:$T$107,12,0)="","",VLOOKUP($F24,'Templ-Cons'!$B$6:$T$107,12,0)),"")))</f>
        <v/>
      </c>
      <c r="U24" s="57" t="str">
        <f>IF(OR($D24="",T24="← Enter #"),"",IF($G24="",VLOOKUP(S24,MatlsData,2,0),VLOOKUP($G24,'Templ-Cons'!$C$6:$T$107,12,0)))</f>
        <v/>
      </c>
      <c r="V24" s="66"/>
      <c r="W24" s="61"/>
      <c r="X24" s="62" t="str">
        <f>IF($D24="","",IF(AND($F24="",W24=""),"← Enter #",IF(NOT($F24=""),IF(VLOOKUP($F24,'Templ-Cons'!$B$6:$T$107,14,0)="","",VLOOKUP($F24,'Templ-Cons'!$B$6:$T$107,14,0)),"")))</f>
        <v/>
      </c>
      <c r="Y24" s="62" t="str">
        <f>IF(OR($D24="",X24="← Enter #"),"",IF($G24="",VLOOKUP(W24,MatlsData,2,0),VLOOKUP($G24,'Templ-Cons'!$C$6:$T$107,14,0)))</f>
        <v/>
      </c>
      <c r="Z24" s="67"/>
      <c r="AA24" s="56"/>
      <c r="AB24" s="57" t="str">
        <f>IF($D24="","",IF(AND($F24="",AA24=""),"← Enter #",IF(NOT($F24=""),IF(VLOOKUP($F24,'Templ-Cons'!$B$6:$T$107,16,0)="","",VLOOKUP($F24,'Templ-Cons'!$B$6:$T$107,16,0)),"")))</f>
        <v/>
      </c>
      <c r="AC24" s="57" t="str">
        <f>IF(OR($D24="",AB24="← Enter #"),"",IF($G24="",VLOOKUP(AA24,MatlsData,2,0),VLOOKUP($G24,'Templ-Cons'!$C$6:$T$107,16,0)))</f>
        <v/>
      </c>
      <c r="AD24" s="66"/>
      <c r="AE24" s="64"/>
      <c r="AG24" s="65" t="e">
        <f t="shared" si="1"/>
        <v>#N/A</v>
      </c>
    </row>
    <row r="25" spans="1:33">
      <c r="A25" s="9"/>
      <c r="B25" s="53" t="e">
        <f>IF(C25=" ","",VLOOKUP(C25,AO$7:AP$16,2,0)&amp;TEXT((COUNTIF(C$7:C24,"="&amp;C25)+1),0))</f>
        <v>#N/A</v>
      </c>
      <c r="C25" s="54" t="s">
        <v>93</v>
      </c>
      <c r="D25" s="54"/>
      <c r="E25" s="55"/>
      <c r="F25" s="56"/>
      <c r="G25" s="57" t="str">
        <f>IF($F25="","",VLOOKUP($F25,'Templ-Cons'!B$6:C$55,2,0))</f>
        <v/>
      </c>
      <c r="H25" s="66"/>
      <c r="I25" s="68" t="str">
        <f t="shared" si="0"/>
        <v/>
      </c>
      <c r="J25" s="67" t="str">
        <f>IF(D25="","",IF(G25="",VLOOKUP(K25,MatlsData,6,0)+VLOOKUP(O25,MatlsData,6,0)+VLOOKUP(S25,MatlsData,6,0)+VLOOKUP(W25,MatlsData,6,0)+VLOOKUP(AA25,MatlsData,6,0),VLOOKUP(G25,'Templ-Cons'!C24:E93,3,0)))</f>
        <v/>
      </c>
      <c r="K25" s="56"/>
      <c r="L25" s="57" t="str">
        <f>IF($D25="","",IF(AND($F25="",K25=""),"← Enter #",IF(NOT($F25=""),IF(VLOOKUP($F25,'Templ-Cons'!$B$6:$T$107,8,0)="","",VLOOKUP($F25,'Templ-Cons'!$B$6:$T$107,8,0)),"")))</f>
        <v/>
      </c>
      <c r="M25" s="57" t="str">
        <f>IF(OR($D25="",L25="← Enter #"),"",IF($G25="",VLOOKUP(K25,MatlsData,2,0),VLOOKUP($G25,'Templ-Cons'!$C$6:$T$107,8,0)))</f>
        <v/>
      </c>
      <c r="N25" s="66"/>
      <c r="O25" s="61"/>
      <c r="P25" s="62" t="str">
        <f>IF($D25="","",IF(AND($F25="",O25=""),"← Enter #",IF(NOT($F25=""),IF(VLOOKUP($F25,'Templ-Cons'!$B$6:$T$107,10,0)="","",VLOOKUP($F25,'Templ-Cons'!$B$6:$T$107,10,0)),"")))</f>
        <v/>
      </c>
      <c r="Q25" s="62" t="str">
        <f>IF(OR($D25="",P25="← Enter #"),"",IF($G25="",VLOOKUP(O25,MatlsData,2,0),VLOOKUP($G25,'Templ-Cons'!$C$6:$T$107,10,0)))</f>
        <v/>
      </c>
      <c r="R25" s="67"/>
      <c r="S25" s="56"/>
      <c r="T25" s="57" t="str">
        <f>IF($D25="","",IF(AND($F25="",S25=""),"← Enter #",IF(NOT($F25=""),IF(VLOOKUP($F25,'Templ-Cons'!$B$6:$T$107,12,0)="","",VLOOKUP($F25,'Templ-Cons'!$B$6:$T$107,12,0)),"")))</f>
        <v/>
      </c>
      <c r="U25" s="57" t="str">
        <f>IF(OR($D25="",T25="← Enter #"),"",IF($G25="",VLOOKUP(S25,MatlsData,2,0),VLOOKUP($G25,'Templ-Cons'!$C$6:$T$107,12,0)))</f>
        <v/>
      </c>
      <c r="V25" s="66"/>
      <c r="W25" s="61"/>
      <c r="X25" s="62" t="str">
        <f>IF($D25="","",IF(AND($F25="",W25=""),"← Enter #",IF(NOT($F25=""),IF(VLOOKUP($F25,'Templ-Cons'!$B$6:$T$107,14,0)="","",VLOOKUP($F25,'Templ-Cons'!$B$6:$T$107,14,0)),"")))</f>
        <v/>
      </c>
      <c r="Y25" s="62" t="str">
        <f>IF(OR($D25="",X25="← Enter #"),"",IF($G25="",VLOOKUP(W25,MatlsData,2,0),VLOOKUP($G25,'Templ-Cons'!$C$6:$T$107,14,0)))</f>
        <v/>
      </c>
      <c r="Z25" s="67"/>
      <c r="AA25" s="56"/>
      <c r="AB25" s="57" t="str">
        <f>IF($D25="","",IF(AND($F25="",AA25=""),"← Enter #",IF(NOT($F25=""),IF(VLOOKUP($F25,'Templ-Cons'!$B$6:$T$107,16,0)="","",VLOOKUP($F25,'Templ-Cons'!$B$6:$T$107,16,0)),"")))</f>
        <v/>
      </c>
      <c r="AC25" s="57" t="str">
        <f>IF(OR($D25="",AB25="← Enter #"),"",IF($G25="",VLOOKUP(AA25,MatlsData,2,0),VLOOKUP($G25,'Templ-Cons'!$C$6:$T$107,16,0)))</f>
        <v/>
      </c>
      <c r="AD25" s="66"/>
      <c r="AE25" s="64"/>
      <c r="AG25" s="65" t="e">
        <f t="shared" si="1"/>
        <v>#N/A</v>
      </c>
    </row>
    <row r="26" spans="1:33">
      <c r="A26" s="9"/>
      <c r="B26" s="53" t="e">
        <f>IF(C26=" ","",VLOOKUP(C26,AO$7:AP$16,2,0)&amp;TEXT((COUNTIF(C$7:C25,"="&amp;C26)+1),0))</f>
        <v>#N/A</v>
      </c>
      <c r="C26" s="54" t="s">
        <v>93</v>
      </c>
      <c r="D26" s="54"/>
      <c r="E26" s="55"/>
      <c r="F26" s="56"/>
      <c r="G26" s="57" t="str">
        <f>IF($F26="","",VLOOKUP($F26,'Templ-Cons'!B$6:C$55,2,0))</f>
        <v/>
      </c>
      <c r="H26" s="66"/>
      <c r="I26" s="68" t="str">
        <f t="shared" si="0"/>
        <v/>
      </c>
      <c r="J26" s="67" t="str">
        <f>IF(D26="","",IF(G26="",VLOOKUP(K26,MatlsData,6,0)+VLOOKUP(O26,MatlsData,6,0)+VLOOKUP(S26,MatlsData,6,0)+VLOOKUP(W26,MatlsData,6,0)+VLOOKUP(AA26,MatlsData,6,0),VLOOKUP(G26,'Templ-Cons'!C25:E94,3,0)))</f>
        <v/>
      </c>
      <c r="K26" s="56"/>
      <c r="L26" s="57" t="str">
        <f>IF($D26="","",IF(AND($F26="",K26=""),"← Enter #",IF(NOT($F26=""),IF(VLOOKUP($F26,'Templ-Cons'!$B$6:$T$107,8,0)="","",VLOOKUP($F26,'Templ-Cons'!$B$6:$T$107,8,0)),"")))</f>
        <v/>
      </c>
      <c r="M26" s="57" t="str">
        <f>IF(OR($D26="",L26="← Enter #"),"",IF($G26="",VLOOKUP(K26,MatlsData,2,0),VLOOKUP($G26,'Templ-Cons'!$C$6:$T$107,8,0)))</f>
        <v/>
      </c>
      <c r="N26" s="66"/>
      <c r="O26" s="61"/>
      <c r="P26" s="62" t="str">
        <f>IF($D26="","",IF(AND($F26="",O26=""),"← Enter #",IF(NOT($F26=""),IF(VLOOKUP($F26,'Templ-Cons'!$B$6:$T$107,10,0)="","",VLOOKUP($F26,'Templ-Cons'!$B$6:$T$107,10,0)),"")))</f>
        <v/>
      </c>
      <c r="Q26" s="62" t="str">
        <f>IF(OR($D26="",P26="← Enter #"),"",IF($G26="",VLOOKUP(O26,MatlsData,2,0),VLOOKUP($G26,'Templ-Cons'!$C$6:$T$107,10,0)))</f>
        <v/>
      </c>
      <c r="R26" s="67"/>
      <c r="S26" s="56"/>
      <c r="T26" s="57" t="str">
        <f>IF($D26="","",IF(AND($F26="",S26=""),"← Enter #",IF(NOT($F26=""),IF(VLOOKUP($F26,'Templ-Cons'!$B$6:$T$107,12,0)="","",VLOOKUP($F26,'Templ-Cons'!$B$6:$T$107,12,0)),"")))</f>
        <v/>
      </c>
      <c r="U26" s="57" t="str">
        <f>IF(OR($D26="",T26="← Enter #"),"",IF($G26="",VLOOKUP(S26,MatlsData,2,0),VLOOKUP($G26,'Templ-Cons'!$C$6:$T$107,12,0)))</f>
        <v/>
      </c>
      <c r="V26" s="66"/>
      <c r="W26" s="61"/>
      <c r="X26" s="62" t="str">
        <f>IF($D26="","",IF(AND($F26="",W26=""),"← Enter #",IF(NOT($F26=""),IF(VLOOKUP($F26,'Templ-Cons'!$B$6:$T$107,14,0)="","",VLOOKUP($F26,'Templ-Cons'!$B$6:$T$107,14,0)),"")))</f>
        <v/>
      </c>
      <c r="Y26" s="62" t="str">
        <f>IF(OR($D26="",X26="← Enter #"),"",IF($G26="",VLOOKUP(W26,MatlsData,2,0),VLOOKUP($G26,'Templ-Cons'!$C$6:$T$107,14,0)))</f>
        <v/>
      </c>
      <c r="Z26" s="67"/>
      <c r="AA26" s="56"/>
      <c r="AB26" s="57" t="str">
        <f>IF($D26="","",IF(AND($F26="",AA26=""),"← Enter #",IF(NOT($F26=""),IF(VLOOKUP($F26,'Templ-Cons'!$B$6:$T$107,16,0)="","",VLOOKUP($F26,'Templ-Cons'!$B$6:$T$107,16,0)),"")))</f>
        <v/>
      </c>
      <c r="AC26" s="57" t="str">
        <f>IF(OR($D26="",AB26="← Enter #"),"",IF($G26="",VLOOKUP(AA26,MatlsData,2,0),VLOOKUP($G26,'Templ-Cons'!$C$6:$T$107,16,0)))</f>
        <v/>
      </c>
      <c r="AD26" s="66"/>
      <c r="AE26" s="64"/>
      <c r="AG26" s="65" t="e">
        <f t="shared" si="1"/>
        <v>#N/A</v>
      </c>
    </row>
    <row r="27" spans="1:33">
      <c r="A27" s="9"/>
      <c r="B27" s="53" t="e">
        <f>IF(C27=" ","",VLOOKUP(C27,AO$7:AP$16,2,0)&amp;TEXT((COUNTIF(C$7:C26,"="&amp;C27)+1),0))</f>
        <v>#N/A</v>
      </c>
      <c r="C27" s="54" t="s">
        <v>93</v>
      </c>
      <c r="D27" s="54"/>
      <c r="E27" s="55"/>
      <c r="F27" s="56"/>
      <c r="G27" s="57" t="str">
        <f>IF($F27="","",VLOOKUP($F27,'Templ-Cons'!B$6:C$55,2,0))</f>
        <v/>
      </c>
      <c r="H27" s="66"/>
      <c r="I27" s="68" t="str">
        <f t="shared" si="0"/>
        <v/>
      </c>
      <c r="J27" s="67" t="str">
        <f>IF(D27="","",IF(G27="",VLOOKUP(K27,MatlsData,6,0)+VLOOKUP(O27,MatlsData,6,0)+VLOOKUP(S27,MatlsData,6,0)+VLOOKUP(W27,MatlsData,6,0)+VLOOKUP(AA27,MatlsData,6,0),VLOOKUP(G27,'Templ-Cons'!C26:E95,3,0)))</f>
        <v/>
      </c>
      <c r="K27" s="56"/>
      <c r="L27" s="57" t="str">
        <f>IF($D27="","",IF(AND($F27="",K27=""),"← Enter #",IF(NOT($F27=""),IF(VLOOKUP($F27,'Templ-Cons'!$B$6:$T$107,8,0)="","",VLOOKUP($F27,'Templ-Cons'!$B$6:$T$107,8,0)),"")))</f>
        <v/>
      </c>
      <c r="M27" s="57" t="str">
        <f>IF(OR($D27="",L27="← Enter #"),"",IF($G27="",VLOOKUP(K27,MatlsData,2,0),VLOOKUP($G27,'Templ-Cons'!$C$6:$T$107,8,0)))</f>
        <v/>
      </c>
      <c r="N27" s="66"/>
      <c r="O27" s="61"/>
      <c r="P27" s="62" t="str">
        <f>IF($D27="","",IF(AND($F27="",O27=""),"← Enter #",IF(NOT($F27=""),IF(VLOOKUP($F27,'Templ-Cons'!$B$6:$T$107,10,0)="","",VLOOKUP($F27,'Templ-Cons'!$B$6:$T$107,10,0)),"")))</f>
        <v/>
      </c>
      <c r="Q27" s="62" t="str">
        <f>IF(OR($D27="",P27="← Enter #"),"",IF($G27="",VLOOKUP(O27,MatlsData,2,0),VLOOKUP($G27,'Templ-Cons'!$C$6:$T$107,10,0)))</f>
        <v/>
      </c>
      <c r="R27" s="67"/>
      <c r="S27" s="56"/>
      <c r="T27" s="57" t="str">
        <f>IF($D27="","",IF(AND($F27="",S27=""),"← Enter #",IF(NOT($F27=""),IF(VLOOKUP($F27,'Templ-Cons'!$B$6:$T$107,12,0)="","",VLOOKUP($F27,'Templ-Cons'!$B$6:$T$107,12,0)),"")))</f>
        <v/>
      </c>
      <c r="U27" s="57" t="str">
        <f>IF(OR($D27="",T27="← Enter #"),"",IF($G27="",VLOOKUP(S27,MatlsData,2,0),VLOOKUP($G27,'Templ-Cons'!$C$6:$T$107,12,0)))</f>
        <v/>
      </c>
      <c r="V27" s="66"/>
      <c r="W27" s="61"/>
      <c r="X27" s="62" t="str">
        <f>IF($D27="","",IF(AND($F27="",W27=""),"← Enter #",IF(NOT($F27=""),IF(VLOOKUP($F27,'Templ-Cons'!$B$6:$T$107,14,0)="","",VLOOKUP($F27,'Templ-Cons'!$B$6:$T$107,14,0)),"")))</f>
        <v/>
      </c>
      <c r="Y27" s="62" t="str">
        <f>IF(OR($D27="",X27="← Enter #"),"",IF($G27="",VLOOKUP(W27,MatlsData,2,0),VLOOKUP($G27,'Templ-Cons'!$C$6:$T$107,14,0)))</f>
        <v/>
      </c>
      <c r="Z27" s="67"/>
      <c r="AA27" s="56"/>
      <c r="AB27" s="57" t="str">
        <f>IF($D27="","",IF(AND($F27="",AA27=""),"← Enter #",IF(NOT($F27=""),IF(VLOOKUP($F27,'Templ-Cons'!$B$6:$T$107,16,0)="","",VLOOKUP($F27,'Templ-Cons'!$B$6:$T$107,16,0)),"")))</f>
        <v/>
      </c>
      <c r="AC27" s="57" t="str">
        <f>IF(OR($D27="",AB27="← Enter #"),"",IF($G27="",VLOOKUP(AA27,MatlsData,2,0),VLOOKUP($G27,'Templ-Cons'!$C$6:$T$107,16,0)))</f>
        <v/>
      </c>
      <c r="AD27" s="66"/>
      <c r="AE27" s="64"/>
      <c r="AG27" s="65" t="e">
        <f t="shared" si="1"/>
        <v>#N/A</v>
      </c>
    </row>
    <row r="28" spans="1:33">
      <c r="A28" s="9"/>
      <c r="B28" s="53" t="e">
        <f>IF(C28=" ","",VLOOKUP(C28,AO$7:AP$16,2,0)&amp;TEXT((COUNTIF(C$7:C27,"="&amp;C28)+1),0))</f>
        <v>#N/A</v>
      </c>
      <c r="C28" s="54" t="s">
        <v>93</v>
      </c>
      <c r="D28" s="54"/>
      <c r="E28" s="55"/>
      <c r="F28" s="56"/>
      <c r="G28" s="57" t="str">
        <f>IF($F28="","",VLOOKUP($F28,'Templ-Cons'!B$6:C$55,2,0))</f>
        <v/>
      </c>
      <c r="H28" s="66"/>
      <c r="I28" s="68" t="str">
        <f t="shared" si="0"/>
        <v/>
      </c>
      <c r="J28" s="67" t="str">
        <f>IF(D28="","",IF(G28="",VLOOKUP(K28,MatlsData,6,0)+VLOOKUP(O28,MatlsData,6,0)+VLOOKUP(S28,MatlsData,6,0)+VLOOKUP(W28,MatlsData,6,0)+VLOOKUP(AA28,MatlsData,6,0),VLOOKUP(G28,'Templ-Cons'!C27:E96,3,0)))</f>
        <v/>
      </c>
      <c r="K28" s="56"/>
      <c r="L28" s="57" t="str">
        <f>IF($D28="","",IF(AND($F28="",K28=""),"← Enter #",IF(NOT($F28=""),IF(VLOOKUP($F28,'Templ-Cons'!$B$6:$T$107,8,0)="","",VLOOKUP($F28,'Templ-Cons'!$B$6:$T$107,8,0)),"")))</f>
        <v/>
      </c>
      <c r="M28" s="57" t="str">
        <f>IF(OR($D28="",L28="← Enter #"),"",IF($G28="",VLOOKUP(K28,MatlsData,2,0),VLOOKUP($G28,'Templ-Cons'!$C$6:$T$107,8,0)))</f>
        <v/>
      </c>
      <c r="N28" s="66"/>
      <c r="O28" s="61"/>
      <c r="P28" s="62" t="str">
        <f>IF($D28="","",IF(AND($F28="",O28=""),"← Enter #",IF(NOT($F28=""),IF(VLOOKUP($F28,'Templ-Cons'!$B$6:$T$107,10,0)="","",VLOOKUP($F28,'Templ-Cons'!$B$6:$T$107,10,0)),"")))</f>
        <v/>
      </c>
      <c r="Q28" s="62" t="str">
        <f>IF(OR($D28="",P28="← Enter #"),"",IF($G28="",VLOOKUP(O28,MatlsData,2,0),VLOOKUP($G28,'Templ-Cons'!$C$6:$T$107,10,0)))</f>
        <v/>
      </c>
      <c r="R28" s="67"/>
      <c r="S28" s="56"/>
      <c r="T28" s="57" t="str">
        <f>IF($D28="","",IF(AND($F28="",S28=""),"← Enter #",IF(NOT($F28=""),IF(VLOOKUP($F28,'Templ-Cons'!$B$6:$T$107,12,0)="","",VLOOKUP($F28,'Templ-Cons'!$B$6:$T$107,12,0)),"")))</f>
        <v/>
      </c>
      <c r="U28" s="57" t="str">
        <f>IF(OR($D28="",T28="← Enter #"),"",IF($G28="",VLOOKUP(S28,MatlsData,2,0),VLOOKUP($G28,'Templ-Cons'!$C$6:$T$107,12,0)))</f>
        <v/>
      </c>
      <c r="V28" s="66"/>
      <c r="W28" s="61"/>
      <c r="X28" s="62" t="str">
        <f>IF($D28="","",IF(AND($F28="",W28=""),"← Enter #",IF(NOT($F28=""),IF(VLOOKUP($F28,'Templ-Cons'!$B$6:$T$107,14,0)="","",VLOOKUP($F28,'Templ-Cons'!$B$6:$T$107,14,0)),"")))</f>
        <v/>
      </c>
      <c r="Y28" s="62" t="str">
        <f>IF(OR($D28="",X28="← Enter #"),"",IF($G28="",VLOOKUP(W28,MatlsData,2,0),VLOOKUP($G28,'Templ-Cons'!$C$6:$T$107,14,0)))</f>
        <v/>
      </c>
      <c r="Z28" s="67"/>
      <c r="AA28" s="56"/>
      <c r="AB28" s="57" t="str">
        <f>IF($D28="","",IF(AND($F28="",AA28=""),"← Enter #",IF(NOT($F28=""),IF(VLOOKUP($F28,'Templ-Cons'!$B$6:$T$107,16,0)="","",VLOOKUP($F28,'Templ-Cons'!$B$6:$T$107,16,0)),"")))</f>
        <v/>
      </c>
      <c r="AC28" s="57" t="str">
        <f>IF(OR($D28="",AB28="← Enter #"),"",IF($G28="",VLOOKUP(AA28,MatlsData,2,0),VLOOKUP($G28,'Templ-Cons'!$C$6:$T$107,16,0)))</f>
        <v/>
      </c>
      <c r="AD28" s="66"/>
      <c r="AE28" s="64"/>
      <c r="AG28" s="65" t="e">
        <f t="shared" si="1"/>
        <v>#N/A</v>
      </c>
    </row>
    <row r="29" spans="1:33">
      <c r="A29" s="9"/>
      <c r="B29" s="53" t="e">
        <f>IF(C29=" ","",VLOOKUP(C29,AO$7:AP$16,2,0)&amp;TEXT((COUNTIF(C$7:C28,"="&amp;C29)+1),0))</f>
        <v>#N/A</v>
      </c>
      <c r="C29" s="54" t="s">
        <v>93</v>
      </c>
      <c r="D29" s="54"/>
      <c r="E29" s="55"/>
      <c r="F29" s="56"/>
      <c r="G29" s="57" t="str">
        <f>IF($F29="","",VLOOKUP($F29,'Templ-Cons'!B$6:C$55,2,0))</f>
        <v/>
      </c>
      <c r="H29" s="66"/>
      <c r="I29" s="68" t="str">
        <f t="shared" si="0"/>
        <v/>
      </c>
      <c r="J29" s="67" t="str">
        <f>IF(D29="","",IF(G29="",VLOOKUP(K29,MatlsData,6,0)+VLOOKUP(O29,MatlsData,6,0)+VLOOKUP(S29,MatlsData,6,0)+VLOOKUP(W29,MatlsData,6,0)+VLOOKUP(AA29,MatlsData,6,0),VLOOKUP(G29,'Templ-Cons'!C28:E97,3,0)))</f>
        <v/>
      </c>
      <c r="K29" s="56"/>
      <c r="L29" s="57" t="str">
        <f>IF($D29="","",IF(AND($F29="",K29=""),"← Enter #",IF(NOT($F29=""),IF(VLOOKUP($F29,'Templ-Cons'!$B$6:$T$107,8,0)="","",VLOOKUP($F29,'Templ-Cons'!$B$6:$T$107,8,0)),"")))</f>
        <v/>
      </c>
      <c r="M29" s="57" t="str">
        <f>IF(OR($D29="",L29="← Enter #"),"",IF($G29="",VLOOKUP(K29,MatlsData,2,0),VLOOKUP($G29,'Templ-Cons'!$C$6:$T$107,8,0)))</f>
        <v/>
      </c>
      <c r="N29" s="66"/>
      <c r="O29" s="61"/>
      <c r="P29" s="62" t="str">
        <f>IF($D29="","",IF(AND($F29="",O29=""),"← Enter #",IF(NOT($F29=""),IF(VLOOKUP($F29,'Templ-Cons'!$B$6:$T$107,10,0)="","",VLOOKUP($F29,'Templ-Cons'!$B$6:$T$107,10,0)),"")))</f>
        <v/>
      </c>
      <c r="Q29" s="62" t="str">
        <f>IF(OR($D29="",P29="← Enter #"),"",IF($G29="",VLOOKUP(O29,MatlsData,2,0),VLOOKUP($G29,'Templ-Cons'!$C$6:$T$107,10,0)))</f>
        <v/>
      </c>
      <c r="R29" s="67"/>
      <c r="S29" s="56"/>
      <c r="T29" s="57" t="str">
        <f>IF($D29="","",IF(AND($F29="",S29=""),"← Enter #",IF(NOT($F29=""),IF(VLOOKUP($F29,'Templ-Cons'!$B$6:$T$107,12,0)="","",VLOOKUP($F29,'Templ-Cons'!$B$6:$T$107,12,0)),"")))</f>
        <v/>
      </c>
      <c r="U29" s="57" t="str">
        <f>IF(OR($D29="",T29="← Enter #"),"",IF($G29="",VLOOKUP(S29,MatlsData,2,0),VLOOKUP($G29,'Templ-Cons'!$C$6:$T$107,12,0)))</f>
        <v/>
      </c>
      <c r="V29" s="66"/>
      <c r="W29" s="61"/>
      <c r="X29" s="62" t="str">
        <f>IF($D29="","",IF(AND($F29="",W29=""),"← Enter #",IF(NOT($F29=""),IF(VLOOKUP($F29,'Templ-Cons'!$B$6:$T$107,14,0)="","",VLOOKUP($F29,'Templ-Cons'!$B$6:$T$107,14,0)),"")))</f>
        <v/>
      </c>
      <c r="Y29" s="62" t="str">
        <f>IF(OR($D29="",X29="← Enter #"),"",IF($G29="",VLOOKUP(W29,MatlsData,2,0),VLOOKUP($G29,'Templ-Cons'!$C$6:$T$107,14,0)))</f>
        <v/>
      </c>
      <c r="Z29" s="67"/>
      <c r="AA29" s="56"/>
      <c r="AB29" s="57" t="str">
        <f>IF($D29="","",IF(AND($F29="",AA29=""),"← Enter #",IF(NOT($F29=""),IF(VLOOKUP($F29,'Templ-Cons'!$B$6:$T$107,16,0)="","",VLOOKUP($F29,'Templ-Cons'!$B$6:$T$107,16,0)),"")))</f>
        <v/>
      </c>
      <c r="AC29" s="57" t="str">
        <f>IF(OR($D29="",AB29="← Enter #"),"",IF($G29="",VLOOKUP(AA29,MatlsData,2,0),VLOOKUP($G29,'Templ-Cons'!$C$6:$T$107,16,0)))</f>
        <v/>
      </c>
      <c r="AD29" s="66"/>
      <c r="AE29" s="64"/>
      <c r="AG29" s="65" t="e">
        <f t="shared" si="1"/>
        <v>#N/A</v>
      </c>
    </row>
    <row r="30" spans="1:33">
      <c r="A30" s="9"/>
      <c r="B30" s="53" t="e">
        <f>IF(C30=" ","",VLOOKUP(C30,AO$7:AP$16,2,0)&amp;TEXT((COUNTIF(C$7:C29,"="&amp;C30)+1),0))</f>
        <v>#N/A</v>
      </c>
      <c r="C30" s="54" t="s">
        <v>93</v>
      </c>
      <c r="D30" s="54"/>
      <c r="E30" s="55"/>
      <c r="F30" s="56"/>
      <c r="G30" s="57" t="str">
        <f>IF($F30="","",VLOOKUP($F30,'Templ-Cons'!B$6:C$55,2,0))</f>
        <v/>
      </c>
      <c r="H30" s="66"/>
      <c r="I30" s="68" t="str">
        <f t="shared" si="0"/>
        <v/>
      </c>
      <c r="J30" s="67" t="str">
        <f>IF(D30="","",IF(G30="",VLOOKUP(K30,MatlsData,6,0)+VLOOKUP(O30,MatlsData,6,0)+VLOOKUP(S30,MatlsData,6,0)+VLOOKUP(W30,MatlsData,6,0)+VLOOKUP(AA30,MatlsData,6,0),VLOOKUP(G30,'Templ-Cons'!C29:E98,3,0)))</f>
        <v/>
      </c>
      <c r="K30" s="56"/>
      <c r="L30" s="57" t="str">
        <f>IF($D30="","",IF(AND($F30="",K30=""),"← Enter #",IF(NOT($F30=""),IF(VLOOKUP($F30,'Templ-Cons'!$B$6:$T$107,8,0)="","",VLOOKUP($F30,'Templ-Cons'!$B$6:$T$107,8,0)),"")))</f>
        <v/>
      </c>
      <c r="M30" s="57" t="str">
        <f>IF(OR($D30="",L30="← Enter #"),"",IF($G30="",VLOOKUP(K30,MatlsData,2,0),VLOOKUP($G30,'Templ-Cons'!$C$6:$T$107,8,0)))</f>
        <v/>
      </c>
      <c r="N30" s="66"/>
      <c r="O30" s="61"/>
      <c r="P30" s="62" t="str">
        <f>IF($D30="","",IF(AND($F30="",O30=""),"← Enter #",IF(NOT($F30=""),IF(VLOOKUP($F30,'Templ-Cons'!$B$6:$T$107,10,0)="","",VLOOKUP($F30,'Templ-Cons'!$B$6:$T$107,10,0)),"")))</f>
        <v/>
      </c>
      <c r="Q30" s="62" t="str">
        <f>IF(OR($D30="",P30="← Enter #"),"",IF($G30="",VLOOKUP(O30,MatlsData,2,0),VLOOKUP($G30,'Templ-Cons'!$C$6:$T$107,10,0)))</f>
        <v/>
      </c>
      <c r="R30" s="67"/>
      <c r="S30" s="56"/>
      <c r="T30" s="57" t="str">
        <f>IF($D30="","",IF(AND($F30="",S30=""),"← Enter #",IF(NOT($F30=""),IF(VLOOKUP($F30,'Templ-Cons'!$B$6:$T$107,12,0)="","",VLOOKUP($F30,'Templ-Cons'!$B$6:$T$107,12,0)),"")))</f>
        <v/>
      </c>
      <c r="U30" s="57" t="str">
        <f>IF(OR($D30="",T30="← Enter #"),"",IF($G30="",VLOOKUP(S30,MatlsData,2,0),VLOOKUP($G30,'Templ-Cons'!$C$6:$T$107,12,0)))</f>
        <v/>
      </c>
      <c r="V30" s="66"/>
      <c r="W30" s="61"/>
      <c r="X30" s="62" t="str">
        <f>IF($D30="","",IF(AND($F30="",W30=""),"← Enter #",IF(NOT($F30=""),IF(VLOOKUP($F30,'Templ-Cons'!$B$6:$T$107,14,0)="","",VLOOKUP($F30,'Templ-Cons'!$B$6:$T$107,14,0)),"")))</f>
        <v/>
      </c>
      <c r="Y30" s="62" t="str">
        <f>IF(OR($D30="",X30="← Enter #"),"",IF($G30="",VLOOKUP(W30,MatlsData,2,0),VLOOKUP($G30,'Templ-Cons'!$C$6:$T$107,14,0)))</f>
        <v/>
      </c>
      <c r="Z30" s="67"/>
      <c r="AA30" s="56"/>
      <c r="AB30" s="57" t="str">
        <f>IF($D30="","",IF(AND($F30="",AA30=""),"← Enter #",IF(NOT($F30=""),IF(VLOOKUP($F30,'Templ-Cons'!$B$6:$T$107,16,0)="","",VLOOKUP($F30,'Templ-Cons'!$B$6:$T$107,16,0)),"")))</f>
        <v/>
      </c>
      <c r="AC30" s="57" t="str">
        <f>IF(OR($D30="",AB30="← Enter #"),"",IF($G30="",VLOOKUP(AA30,MatlsData,2,0),VLOOKUP($G30,'Templ-Cons'!$C$6:$T$107,16,0)))</f>
        <v/>
      </c>
      <c r="AD30" s="66"/>
      <c r="AE30" s="64"/>
      <c r="AG30" s="65" t="e">
        <f t="shared" si="1"/>
        <v>#N/A</v>
      </c>
    </row>
    <row r="31" spans="1:33">
      <c r="A31" s="9"/>
      <c r="B31" s="53" t="e">
        <f>IF(C31=" ","",VLOOKUP(C31,AO$7:AP$16,2,0)&amp;TEXT((COUNTIF(C$7:C30,"="&amp;C31)+1),0))</f>
        <v>#N/A</v>
      </c>
      <c r="C31" s="54" t="s">
        <v>93</v>
      </c>
      <c r="D31" s="54"/>
      <c r="E31" s="55"/>
      <c r="F31" s="56"/>
      <c r="G31" s="57" t="str">
        <f>IF($F31="","",VLOOKUP($F31,'Templ-Cons'!B$6:C$55,2,0))</f>
        <v/>
      </c>
      <c r="H31" s="66"/>
      <c r="I31" s="68" t="str">
        <f t="shared" si="0"/>
        <v/>
      </c>
      <c r="J31" s="67" t="str">
        <f>IF(D31="","",IF(G31="",VLOOKUP(K31,MatlsData,6,0)+VLOOKUP(O31,MatlsData,6,0)+VLOOKUP(S31,MatlsData,6,0)+VLOOKUP(W31,MatlsData,6,0)+VLOOKUP(AA31,MatlsData,6,0),VLOOKUP(G31,'Templ-Cons'!C30:E99,3,0)))</f>
        <v/>
      </c>
      <c r="K31" s="56"/>
      <c r="L31" s="57" t="str">
        <f>IF($D31="","",IF(AND($F31="",K31=""),"← Enter #",IF(NOT($F31=""),IF(VLOOKUP($F31,'Templ-Cons'!$B$6:$T$107,8,0)="","",VLOOKUP($F31,'Templ-Cons'!$B$6:$T$107,8,0)),"")))</f>
        <v/>
      </c>
      <c r="M31" s="57" t="str">
        <f>IF(OR($D31="",L31="← Enter #"),"",IF($G31="",VLOOKUP(K31,MatlsData,2,0),VLOOKUP($G31,'Templ-Cons'!$C$6:$T$107,8,0)))</f>
        <v/>
      </c>
      <c r="N31" s="66"/>
      <c r="O31" s="61"/>
      <c r="P31" s="62" t="str">
        <f>IF($D31="","",IF(AND($F31="",O31=""),"← Enter #",IF(NOT($F31=""),IF(VLOOKUP($F31,'Templ-Cons'!$B$6:$T$107,10,0)="","",VLOOKUP($F31,'Templ-Cons'!$B$6:$T$107,10,0)),"")))</f>
        <v/>
      </c>
      <c r="Q31" s="62" t="str">
        <f>IF(OR($D31="",P31="← Enter #"),"",IF($G31="",VLOOKUP(O31,MatlsData,2,0),VLOOKUP($G31,'Templ-Cons'!$C$6:$T$107,10,0)))</f>
        <v/>
      </c>
      <c r="R31" s="67"/>
      <c r="S31" s="56"/>
      <c r="T31" s="57" t="str">
        <f>IF($D31="","",IF(AND($F31="",S31=""),"← Enter #",IF(NOT($F31=""),IF(VLOOKUP($F31,'Templ-Cons'!$B$6:$T$107,12,0)="","",VLOOKUP($F31,'Templ-Cons'!$B$6:$T$107,12,0)),"")))</f>
        <v/>
      </c>
      <c r="U31" s="57" t="str">
        <f>IF(OR($D31="",T31="← Enter #"),"",IF($G31="",VLOOKUP(S31,MatlsData,2,0),VLOOKUP($G31,'Templ-Cons'!$C$6:$T$107,12,0)))</f>
        <v/>
      </c>
      <c r="V31" s="66"/>
      <c r="W31" s="61"/>
      <c r="X31" s="62" t="str">
        <f>IF($D31="","",IF(AND($F31="",W31=""),"← Enter #",IF(NOT($F31=""),IF(VLOOKUP($F31,'Templ-Cons'!$B$6:$T$107,14,0)="","",VLOOKUP($F31,'Templ-Cons'!$B$6:$T$107,14,0)),"")))</f>
        <v/>
      </c>
      <c r="Y31" s="62" t="str">
        <f>IF(OR($D31="",X31="← Enter #"),"",IF($G31="",VLOOKUP(W31,MatlsData,2,0),VLOOKUP($G31,'Templ-Cons'!$C$6:$T$107,14,0)))</f>
        <v/>
      </c>
      <c r="Z31" s="67"/>
      <c r="AA31" s="56"/>
      <c r="AB31" s="57" t="str">
        <f>IF($D31="","",IF(AND($F31="",AA31=""),"← Enter #",IF(NOT($F31=""),IF(VLOOKUP($F31,'Templ-Cons'!$B$6:$T$107,16,0)="","",VLOOKUP($F31,'Templ-Cons'!$B$6:$T$107,16,0)),"")))</f>
        <v/>
      </c>
      <c r="AC31" s="57" t="str">
        <f>IF(OR($D31="",AB31="← Enter #"),"",IF($G31="",VLOOKUP(AA31,MatlsData,2,0),VLOOKUP($G31,'Templ-Cons'!$C$6:$T$107,16,0)))</f>
        <v/>
      </c>
      <c r="AD31" s="66"/>
      <c r="AE31" s="64"/>
      <c r="AG31" s="65" t="e">
        <f t="shared" si="1"/>
        <v>#N/A</v>
      </c>
    </row>
    <row r="32" spans="1:33">
      <c r="A32" s="9"/>
      <c r="B32" s="53" t="e">
        <f>IF(C32=" ","",VLOOKUP(C32,AO$7:AP$16,2,0)&amp;TEXT((COUNTIF(C$7:C31,"="&amp;C32)+1),0))</f>
        <v>#N/A</v>
      </c>
      <c r="C32" s="54" t="s">
        <v>93</v>
      </c>
      <c r="D32" s="54"/>
      <c r="E32" s="55"/>
      <c r="F32" s="56"/>
      <c r="G32" s="57" t="str">
        <f>IF($F32="","",VLOOKUP($F32,'Templ-Cons'!B$6:C$55,2,0))</f>
        <v/>
      </c>
      <c r="H32" s="66"/>
      <c r="I32" s="68" t="str">
        <f t="shared" si="0"/>
        <v/>
      </c>
      <c r="J32" s="67" t="str">
        <f>IF(D32="","",IF(G32="",VLOOKUP(K32,MatlsData,6,0)+VLOOKUP(O32,MatlsData,6,0)+VLOOKUP(S32,MatlsData,6,0)+VLOOKUP(W32,MatlsData,6,0)+VLOOKUP(AA32,MatlsData,6,0),VLOOKUP(G32,'Templ-Cons'!C31:E100,3,0)))</f>
        <v/>
      </c>
      <c r="K32" s="56"/>
      <c r="L32" s="57" t="str">
        <f>IF($D32="","",IF(AND($F32="",K32=""),"← Enter #",IF(NOT($F32=""),IF(VLOOKUP($F32,'Templ-Cons'!$B$6:$T$107,8,0)="","",VLOOKUP($F32,'Templ-Cons'!$B$6:$T$107,8,0)),"")))</f>
        <v/>
      </c>
      <c r="M32" s="57" t="str">
        <f>IF(OR($D32="",L32="← Enter #"),"",IF($G32="",VLOOKUP(K32,MatlsData,2,0),VLOOKUP($G32,'Templ-Cons'!$C$6:$T$107,8,0)))</f>
        <v/>
      </c>
      <c r="N32" s="66"/>
      <c r="O32" s="61"/>
      <c r="P32" s="62" t="str">
        <f>IF($D32="","",IF(AND($F32="",O32=""),"← Enter #",IF(NOT($F32=""),IF(VLOOKUP($F32,'Templ-Cons'!$B$6:$T$107,10,0)="","",VLOOKUP($F32,'Templ-Cons'!$B$6:$T$107,10,0)),"")))</f>
        <v/>
      </c>
      <c r="Q32" s="62" t="str">
        <f>IF(OR($D32="",P32="← Enter #"),"",IF($G32="",VLOOKUP(O32,MatlsData,2,0),VLOOKUP($G32,'Templ-Cons'!$C$6:$T$107,10,0)))</f>
        <v/>
      </c>
      <c r="R32" s="67"/>
      <c r="S32" s="56"/>
      <c r="T32" s="57" t="str">
        <f>IF($D32="","",IF(AND($F32="",S32=""),"← Enter #",IF(NOT($F32=""),IF(VLOOKUP($F32,'Templ-Cons'!$B$6:$T$107,12,0)="","",VLOOKUP($F32,'Templ-Cons'!$B$6:$T$107,12,0)),"")))</f>
        <v/>
      </c>
      <c r="U32" s="57" t="str">
        <f>IF(OR($D32="",T32="← Enter #"),"",IF($G32="",VLOOKUP(S32,MatlsData,2,0),VLOOKUP($G32,'Templ-Cons'!$C$6:$T$107,12,0)))</f>
        <v/>
      </c>
      <c r="V32" s="66"/>
      <c r="W32" s="61"/>
      <c r="X32" s="62" t="str">
        <f>IF($D32="","",IF(AND($F32="",W32=""),"← Enter #",IF(NOT($F32=""),IF(VLOOKUP($F32,'Templ-Cons'!$B$6:$T$107,14,0)="","",VLOOKUP($F32,'Templ-Cons'!$B$6:$T$107,14,0)),"")))</f>
        <v/>
      </c>
      <c r="Y32" s="62" t="str">
        <f>IF(OR($D32="",X32="← Enter #"),"",IF($G32="",VLOOKUP(W32,MatlsData,2,0),VLOOKUP($G32,'Templ-Cons'!$C$6:$T$107,14,0)))</f>
        <v/>
      </c>
      <c r="Z32" s="67"/>
      <c r="AA32" s="56"/>
      <c r="AB32" s="57" t="str">
        <f>IF($D32="","",IF(AND($F32="",AA32=""),"← Enter #",IF(NOT($F32=""),IF(VLOOKUP($F32,'Templ-Cons'!$B$6:$T$107,16,0)="","",VLOOKUP($F32,'Templ-Cons'!$B$6:$T$107,16,0)),"")))</f>
        <v/>
      </c>
      <c r="AC32" s="57" t="str">
        <f>IF(OR($D32="",AB32="← Enter #"),"",IF($G32="",VLOOKUP(AA32,MatlsData,2,0),VLOOKUP($G32,'Templ-Cons'!$C$6:$T$107,16,0)))</f>
        <v/>
      </c>
      <c r="AD32" s="66"/>
      <c r="AE32" s="64"/>
      <c r="AG32" s="65" t="e">
        <f t="shared" si="1"/>
        <v>#N/A</v>
      </c>
    </row>
    <row r="33" spans="1:33">
      <c r="A33" s="9"/>
      <c r="B33" s="53" t="e">
        <f>IF(C33=" ","",VLOOKUP(C33,AO$7:AP$16,2,0)&amp;TEXT((COUNTIF(C$7:C32,"="&amp;C33)+1),0))</f>
        <v>#N/A</v>
      </c>
      <c r="C33" s="54" t="s">
        <v>93</v>
      </c>
      <c r="D33" s="54"/>
      <c r="E33" s="55"/>
      <c r="F33" s="56"/>
      <c r="G33" s="57" t="str">
        <f>IF($F33="","",VLOOKUP($F33,'Templ-Cons'!B$6:C$55,2,0))</f>
        <v/>
      </c>
      <c r="H33" s="66"/>
      <c r="I33" s="68" t="str">
        <f t="shared" si="0"/>
        <v/>
      </c>
      <c r="J33" s="67" t="str">
        <f>IF(D33="","",IF(G33="",VLOOKUP(K33,MatlsData,6,0)+VLOOKUP(O33,MatlsData,6,0)+VLOOKUP(S33,MatlsData,6,0)+VLOOKUP(W33,MatlsData,6,0)+VLOOKUP(AA33,MatlsData,6,0),VLOOKUP(G33,'Templ-Cons'!C32:E101,3,0)))</f>
        <v/>
      </c>
      <c r="K33" s="56"/>
      <c r="L33" s="57" t="str">
        <f>IF($D33="","",IF(AND($F33="",K33=""),"← Enter #",IF(NOT($F33=""),IF(VLOOKUP($F33,'Templ-Cons'!$B$6:$T$107,8,0)="","",VLOOKUP($F33,'Templ-Cons'!$B$6:$T$107,8,0)),"")))</f>
        <v/>
      </c>
      <c r="M33" s="57" t="str">
        <f>IF(OR($D33="",L33="← Enter #"),"",IF($G33="",VLOOKUP(K33,MatlsData,2,0),VLOOKUP($G33,'Templ-Cons'!$C$6:$T$107,8,0)))</f>
        <v/>
      </c>
      <c r="N33" s="66"/>
      <c r="O33" s="61"/>
      <c r="P33" s="62" t="str">
        <f>IF($D33="","",IF(AND($F33="",O33=""),"← Enter #",IF(NOT($F33=""),IF(VLOOKUP($F33,'Templ-Cons'!$B$6:$T$107,10,0)="","",VLOOKUP($F33,'Templ-Cons'!$B$6:$T$107,10,0)),"")))</f>
        <v/>
      </c>
      <c r="Q33" s="62" t="str">
        <f>IF(OR($D33="",P33="← Enter #"),"",IF($G33="",VLOOKUP(O33,MatlsData,2,0),VLOOKUP($G33,'Templ-Cons'!$C$6:$T$107,10,0)))</f>
        <v/>
      </c>
      <c r="R33" s="67"/>
      <c r="S33" s="56"/>
      <c r="T33" s="57" t="str">
        <f>IF($D33="","",IF(AND($F33="",S33=""),"← Enter #",IF(NOT($F33=""),IF(VLOOKUP($F33,'Templ-Cons'!$B$6:$T$107,12,0)="","",VLOOKUP($F33,'Templ-Cons'!$B$6:$T$107,12,0)),"")))</f>
        <v/>
      </c>
      <c r="U33" s="57" t="str">
        <f>IF(OR($D33="",T33="← Enter #"),"",IF($G33="",VLOOKUP(S33,MatlsData,2,0),VLOOKUP($G33,'Templ-Cons'!$C$6:$T$107,12,0)))</f>
        <v/>
      </c>
      <c r="V33" s="66"/>
      <c r="W33" s="61"/>
      <c r="X33" s="62" t="str">
        <f>IF($D33="","",IF(AND($F33="",W33=""),"← Enter #",IF(NOT($F33=""),IF(VLOOKUP($F33,'Templ-Cons'!$B$6:$T$107,14,0)="","",VLOOKUP($F33,'Templ-Cons'!$B$6:$T$107,14,0)),"")))</f>
        <v/>
      </c>
      <c r="Y33" s="62" t="str">
        <f>IF(OR($D33="",X33="← Enter #"),"",IF($G33="",VLOOKUP(W33,MatlsData,2,0),VLOOKUP($G33,'Templ-Cons'!$C$6:$T$107,14,0)))</f>
        <v/>
      </c>
      <c r="Z33" s="67"/>
      <c r="AA33" s="56"/>
      <c r="AB33" s="57" t="str">
        <f>IF($D33="","",IF(AND($F33="",AA33=""),"← Enter #",IF(NOT($F33=""),IF(VLOOKUP($F33,'Templ-Cons'!$B$6:$T$107,16,0)="","",VLOOKUP($F33,'Templ-Cons'!$B$6:$T$107,16,0)),"")))</f>
        <v/>
      </c>
      <c r="AC33" s="57" t="str">
        <f>IF(OR($D33="",AB33="← Enter #"),"",IF($G33="",VLOOKUP(AA33,MatlsData,2,0),VLOOKUP($G33,'Templ-Cons'!$C$6:$T$107,16,0)))</f>
        <v/>
      </c>
      <c r="AD33" s="66"/>
      <c r="AE33" s="64"/>
      <c r="AG33" s="65" t="e">
        <f t="shared" si="1"/>
        <v>#N/A</v>
      </c>
    </row>
    <row r="34" spans="1:33">
      <c r="A34" s="9"/>
      <c r="B34" s="53" t="e">
        <f>IF(C34=" ","",VLOOKUP(C34,AO$7:AP$16,2,0)&amp;TEXT((COUNTIF(C$7:C33,"="&amp;C34)+1),0))</f>
        <v>#N/A</v>
      </c>
      <c r="C34" s="54" t="s">
        <v>93</v>
      </c>
      <c r="D34" s="54"/>
      <c r="E34" s="55"/>
      <c r="F34" s="56"/>
      <c r="G34" s="57" t="str">
        <f>IF($F34="","",VLOOKUP($F34,'Templ-Cons'!B$6:C$55,2,0))</f>
        <v/>
      </c>
      <c r="H34" s="66"/>
      <c r="I34" s="68" t="str">
        <f t="shared" si="0"/>
        <v/>
      </c>
      <c r="J34" s="67" t="str">
        <f>IF(D34="","",IF(G34="",VLOOKUP(K34,MatlsData,6,0)+VLOOKUP(O34,MatlsData,6,0)+VLOOKUP(S34,MatlsData,6,0)+VLOOKUP(W34,MatlsData,6,0)+VLOOKUP(AA34,MatlsData,6,0),VLOOKUP(G34,'Templ-Cons'!C33:E102,3,0)))</f>
        <v/>
      </c>
      <c r="K34" s="56"/>
      <c r="L34" s="57" t="str">
        <f>IF($D34="","",IF(AND($F34="",K34=""),"← Enter #",IF(NOT($F34=""),IF(VLOOKUP($F34,'Templ-Cons'!$B$6:$T$107,8,0)="","",VLOOKUP($F34,'Templ-Cons'!$B$6:$T$107,8,0)),"")))</f>
        <v/>
      </c>
      <c r="M34" s="57" t="str">
        <f>IF(OR($D34="",L34="← Enter #"),"",IF($G34="",VLOOKUP(K34,MatlsData,2,0),VLOOKUP($G34,'Templ-Cons'!$C$6:$T$107,8,0)))</f>
        <v/>
      </c>
      <c r="N34" s="66"/>
      <c r="O34" s="61"/>
      <c r="P34" s="62" t="str">
        <f>IF($D34="","",IF(AND($F34="",O34=""),"← Enter #",IF(NOT($F34=""),IF(VLOOKUP($F34,'Templ-Cons'!$B$6:$T$107,10,0)="","",VLOOKUP($F34,'Templ-Cons'!$B$6:$T$107,10,0)),"")))</f>
        <v/>
      </c>
      <c r="Q34" s="62" t="str">
        <f>IF(OR($D34="",P34="← Enter #"),"",IF($G34="",VLOOKUP(O34,MatlsData,2,0),VLOOKUP($G34,'Templ-Cons'!$C$6:$T$107,10,0)))</f>
        <v/>
      </c>
      <c r="R34" s="67"/>
      <c r="S34" s="56"/>
      <c r="T34" s="57" t="str">
        <f>IF($D34="","",IF(AND($F34="",S34=""),"← Enter #",IF(NOT($F34=""),IF(VLOOKUP($F34,'Templ-Cons'!$B$6:$T$107,12,0)="","",VLOOKUP($F34,'Templ-Cons'!$B$6:$T$107,12,0)),"")))</f>
        <v/>
      </c>
      <c r="U34" s="57" t="str">
        <f>IF(OR($D34="",T34="← Enter #"),"",IF($G34="",VLOOKUP(S34,MatlsData,2,0),VLOOKUP($G34,'Templ-Cons'!$C$6:$T$107,12,0)))</f>
        <v/>
      </c>
      <c r="V34" s="66"/>
      <c r="W34" s="61"/>
      <c r="X34" s="62" t="str">
        <f>IF($D34="","",IF(AND($F34="",W34=""),"← Enter #",IF(NOT($F34=""),IF(VLOOKUP($F34,'Templ-Cons'!$B$6:$T$107,14,0)="","",VLOOKUP($F34,'Templ-Cons'!$B$6:$T$107,14,0)),"")))</f>
        <v/>
      </c>
      <c r="Y34" s="62" t="str">
        <f>IF(OR($D34="",X34="← Enter #"),"",IF($G34="",VLOOKUP(W34,MatlsData,2,0),VLOOKUP($G34,'Templ-Cons'!$C$6:$T$107,14,0)))</f>
        <v/>
      </c>
      <c r="Z34" s="67"/>
      <c r="AA34" s="56"/>
      <c r="AB34" s="57" t="str">
        <f>IF($D34="","",IF(AND($F34="",AA34=""),"← Enter #",IF(NOT($F34=""),IF(VLOOKUP($F34,'Templ-Cons'!$B$6:$T$107,16,0)="","",VLOOKUP($F34,'Templ-Cons'!$B$6:$T$107,16,0)),"")))</f>
        <v/>
      </c>
      <c r="AC34" s="57" t="str">
        <f>IF(OR($D34="",AB34="← Enter #"),"",IF($G34="",VLOOKUP(AA34,MatlsData,2,0),VLOOKUP($G34,'Templ-Cons'!$C$6:$T$107,16,0)))</f>
        <v/>
      </c>
      <c r="AD34" s="66"/>
      <c r="AE34" s="64"/>
      <c r="AG34" s="65" t="e">
        <f t="shared" si="1"/>
        <v>#N/A</v>
      </c>
    </row>
    <row r="35" spans="1:33">
      <c r="A35" s="9"/>
      <c r="B35" s="53" t="e">
        <f>IF(C35=" ","",VLOOKUP(C35,AO$7:AP$16,2,0)&amp;TEXT((COUNTIF(C$7:C34,"="&amp;C35)+1),0))</f>
        <v>#N/A</v>
      </c>
      <c r="C35" s="54" t="s">
        <v>93</v>
      </c>
      <c r="D35" s="54"/>
      <c r="E35" s="55"/>
      <c r="F35" s="56"/>
      <c r="G35" s="57" t="str">
        <f>IF($F35="","",VLOOKUP($F35,'Templ-Cons'!B$6:C$55,2,0))</f>
        <v/>
      </c>
      <c r="H35" s="66"/>
      <c r="I35" s="68" t="str">
        <f t="shared" si="0"/>
        <v/>
      </c>
      <c r="J35" s="67" t="str">
        <f>IF(D35="","",IF(G35="",VLOOKUP(K35,MatlsData,6,0)+VLOOKUP(O35,MatlsData,6,0)+VLOOKUP(S35,MatlsData,6,0)+VLOOKUP(W35,MatlsData,6,0)+VLOOKUP(AA35,MatlsData,6,0),VLOOKUP(G35,'Templ-Cons'!C34:E103,3,0)))</f>
        <v/>
      </c>
      <c r="K35" s="56"/>
      <c r="L35" s="57" t="str">
        <f>IF($D35="","",IF(AND($F35="",K35=""),"← Enter #",IF(NOT($F35=""),IF(VLOOKUP($F35,'Templ-Cons'!$B$6:$T$107,8,0)="","",VLOOKUP($F35,'Templ-Cons'!$B$6:$T$107,8,0)),"")))</f>
        <v/>
      </c>
      <c r="M35" s="57" t="str">
        <f>IF(OR($D35="",L35="← Enter #"),"",IF($G35="",VLOOKUP(K35,MatlsData,2,0),VLOOKUP($G35,'Templ-Cons'!$C$6:$T$107,8,0)))</f>
        <v/>
      </c>
      <c r="N35" s="66"/>
      <c r="O35" s="61"/>
      <c r="P35" s="62" t="str">
        <f>IF($D35="","",IF(AND($F35="",O35=""),"← Enter #",IF(NOT($F35=""),IF(VLOOKUP($F35,'Templ-Cons'!$B$6:$T$107,10,0)="","",VLOOKUP($F35,'Templ-Cons'!$B$6:$T$107,10,0)),"")))</f>
        <v/>
      </c>
      <c r="Q35" s="62" t="str">
        <f>IF(OR($D35="",P35="← Enter #"),"",IF($G35="",VLOOKUP(O35,MatlsData,2,0),VLOOKUP($G35,'Templ-Cons'!$C$6:$T$107,10,0)))</f>
        <v/>
      </c>
      <c r="R35" s="67"/>
      <c r="S35" s="56"/>
      <c r="T35" s="57" t="str">
        <f>IF($D35="","",IF(AND($F35="",S35=""),"← Enter #",IF(NOT($F35=""),IF(VLOOKUP($F35,'Templ-Cons'!$B$6:$T$107,12,0)="","",VLOOKUP($F35,'Templ-Cons'!$B$6:$T$107,12,0)),"")))</f>
        <v/>
      </c>
      <c r="U35" s="57" t="str">
        <f>IF(OR($D35="",T35="← Enter #"),"",IF($G35="",VLOOKUP(S35,MatlsData,2,0),VLOOKUP($G35,'Templ-Cons'!$C$6:$T$107,12,0)))</f>
        <v/>
      </c>
      <c r="V35" s="66"/>
      <c r="W35" s="61"/>
      <c r="X35" s="62" t="str">
        <f>IF($D35="","",IF(AND($F35="",W35=""),"← Enter #",IF(NOT($F35=""),IF(VLOOKUP($F35,'Templ-Cons'!$B$6:$T$107,14,0)="","",VLOOKUP($F35,'Templ-Cons'!$B$6:$T$107,14,0)),"")))</f>
        <v/>
      </c>
      <c r="Y35" s="62" t="str">
        <f>IF(OR($D35="",X35="← Enter #"),"",IF($G35="",VLOOKUP(W35,MatlsData,2,0),VLOOKUP($G35,'Templ-Cons'!$C$6:$T$107,14,0)))</f>
        <v/>
      </c>
      <c r="Z35" s="67"/>
      <c r="AA35" s="56"/>
      <c r="AB35" s="57" t="str">
        <f>IF($D35="","",IF(AND($F35="",AA35=""),"← Enter #",IF(NOT($F35=""),IF(VLOOKUP($F35,'Templ-Cons'!$B$6:$T$107,16,0)="","",VLOOKUP($F35,'Templ-Cons'!$B$6:$T$107,16,0)),"")))</f>
        <v/>
      </c>
      <c r="AC35" s="57" t="str">
        <f>IF(OR($D35="",AB35="← Enter #"),"",IF($G35="",VLOOKUP(AA35,MatlsData,2,0),VLOOKUP($G35,'Templ-Cons'!$C$6:$T$107,16,0)))</f>
        <v/>
      </c>
      <c r="AD35" s="66"/>
      <c r="AE35" s="64"/>
      <c r="AG35" s="65" t="e">
        <f t="shared" si="1"/>
        <v>#N/A</v>
      </c>
    </row>
    <row r="36" spans="1:33">
      <c r="A36" s="9"/>
      <c r="B36" s="53" t="e">
        <f>IF(C36=" ","",VLOOKUP(C36,AO$7:AP$16,2,0)&amp;TEXT((COUNTIF(C$7:C35,"="&amp;C36)+1),0))</f>
        <v>#N/A</v>
      </c>
      <c r="C36" s="54" t="s">
        <v>93</v>
      </c>
      <c r="D36" s="54"/>
      <c r="E36" s="55"/>
      <c r="F36" s="56"/>
      <c r="G36" s="57" t="str">
        <f>IF($F36="","",VLOOKUP($F36,'Templ-Cons'!B$6:C$55,2,0))</f>
        <v/>
      </c>
      <c r="H36" s="66"/>
      <c r="I36" s="68" t="str">
        <f t="shared" si="0"/>
        <v/>
      </c>
      <c r="J36" s="67" t="str">
        <f>IF(D36="","",IF(G36="",VLOOKUP(K36,MatlsData,6,0)+VLOOKUP(O36,MatlsData,6,0)+VLOOKUP(S36,MatlsData,6,0)+VLOOKUP(W36,MatlsData,6,0)+VLOOKUP(AA36,MatlsData,6,0),VLOOKUP(G36,'Templ-Cons'!C35:E104,3,0)))</f>
        <v/>
      </c>
      <c r="K36" s="56"/>
      <c r="L36" s="57" t="str">
        <f>IF($D36="","",IF(AND($F36="",K36=""),"← Enter #",IF(NOT($F36=""),IF(VLOOKUP($F36,'Templ-Cons'!$B$6:$T$107,8,0)="","",VLOOKUP($F36,'Templ-Cons'!$B$6:$T$107,8,0)),"")))</f>
        <v/>
      </c>
      <c r="M36" s="57" t="str">
        <f>IF(OR($D36="",L36="← Enter #"),"",IF($G36="",VLOOKUP(K36,MatlsData,2,0),VLOOKUP($G36,'Templ-Cons'!$C$6:$T$107,8,0)))</f>
        <v/>
      </c>
      <c r="N36" s="66"/>
      <c r="O36" s="61"/>
      <c r="P36" s="62" t="str">
        <f>IF($D36="","",IF(AND($F36="",O36=""),"← Enter #",IF(NOT($F36=""),IF(VLOOKUP($F36,'Templ-Cons'!$B$6:$T$107,10,0)="","",VLOOKUP($F36,'Templ-Cons'!$B$6:$T$107,10,0)),"")))</f>
        <v/>
      </c>
      <c r="Q36" s="62" t="str">
        <f>IF(OR($D36="",P36="← Enter #"),"",IF($G36="",VLOOKUP(O36,MatlsData,2,0),VLOOKUP($G36,'Templ-Cons'!$C$6:$T$107,10,0)))</f>
        <v/>
      </c>
      <c r="R36" s="67"/>
      <c r="S36" s="56"/>
      <c r="T36" s="57" t="str">
        <f>IF($D36="","",IF(AND($F36="",S36=""),"← Enter #",IF(NOT($F36=""),IF(VLOOKUP($F36,'Templ-Cons'!$B$6:$T$107,12,0)="","",VLOOKUP($F36,'Templ-Cons'!$B$6:$T$107,12,0)),"")))</f>
        <v/>
      </c>
      <c r="U36" s="57" t="str">
        <f>IF(OR($D36="",T36="← Enter #"),"",IF($G36="",VLOOKUP(S36,MatlsData,2,0),VLOOKUP($G36,'Templ-Cons'!$C$6:$T$107,12,0)))</f>
        <v/>
      </c>
      <c r="V36" s="66"/>
      <c r="W36" s="61"/>
      <c r="X36" s="62" t="str">
        <f>IF($D36="","",IF(AND($F36="",W36=""),"← Enter #",IF(NOT($F36=""),IF(VLOOKUP($F36,'Templ-Cons'!$B$6:$T$107,14,0)="","",VLOOKUP($F36,'Templ-Cons'!$B$6:$T$107,14,0)),"")))</f>
        <v/>
      </c>
      <c r="Y36" s="62" t="str">
        <f>IF(OR($D36="",X36="← Enter #"),"",IF($G36="",VLOOKUP(W36,MatlsData,2,0),VLOOKUP($G36,'Templ-Cons'!$C$6:$T$107,14,0)))</f>
        <v/>
      </c>
      <c r="Z36" s="67"/>
      <c r="AA36" s="56"/>
      <c r="AB36" s="57" t="str">
        <f>IF($D36="","",IF(AND($F36="",AA36=""),"← Enter #",IF(NOT($F36=""),IF(VLOOKUP($F36,'Templ-Cons'!$B$6:$T$107,16,0)="","",VLOOKUP($F36,'Templ-Cons'!$B$6:$T$107,16,0)),"")))</f>
        <v/>
      </c>
      <c r="AC36" s="57" t="str">
        <f>IF(OR($D36="",AB36="← Enter #"),"",IF($G36="",VLOOKUP(AA36,MatlsData,2,0),VLOOKUP($G36,'Templ-Cons'!$C$6:$T$107,16,0)))</f>
        <v/>
      </c>
      <c r="AD36" s="66"/>
      <c r="AE36" s="64"/>
      <c r="AG36" s="65" t="e">
        <f t="shared" si="1"/>
        <v>#N/A</v>
      </c>
    </row>
    <row r="37" spans="1:33">
      <c r="A37" s="9"/>
      <c r="B37" s="53" t="e">
        <f>IF(C37=" ","",VLOOKUP(C37,AO$7:AP$16,2,0)&amp;TEXT((COUNTIF(C$7:C36,"="&amp;C37)+1),0))</f>
        <v>#N/A</v>
      </c>
      <c r="C37" s="54" t="s">
        <v>93</v>
      </c>
      <c r="D37" s="54"/>
      <c r="E37" s="55"/>
      <c r="F37" s="56"/>
      <c r="G37" s="57" t="str">
        <f>IF($F37="","",VLOOKUP($F37,'Templ-Cons'!B$6:C$55,2,0))</f>
        <v/>
      </c>
      <c r="H37" s="66"/>
      <c r="I37" s="68" t="str">
        <f t="shared" si="0"/>
        <v/>
      </c>
      <c r="J37" s="67" t="str">
        <f>IF(D37="","",IF(G37="",VLOOKUP(K37,MatlsData,6,0)+VLOOKUP(O37,MatlsData,6,0)+VLOOKUP(S37,MatlsData,6,0)+VLOOKUP(W37,MatlsData,6,0)+VLOOKUP(AA37,MatlsData,6,0),VLOOKUP(G37,'Templ-Cons'!C36:E105,3,0)))</f>
        <v/>
      </c>
      <c r="K37" s="56"/>
      <c r="L37" s="57" t="str">
        <f>IF($D37="","",IF(AND($F37="",K37=""),"← Enter #",IF(NOT($F37=""),IF(VLOOKUP($F37,'Templ-Cons'!$B$6:$T$107,8,0)="","",VLOOKUP($F37,'Templ-Cons'!$B$6:$T$107,8,0)),"")))</f>
        <v/>
      </c>
      <c r="M37" s="57" t="str">
        <f>IF(OR($D37="",L37="← Enter #"),"",IF($G37="",VLOOKUP(K37,MatlsData,2,0),VLOOKUP($G37,'Templ-Cons'!$C$6:$T$107,8,0)))</f>
        <v/>
      </c>
      <c r="N37" s="66"/>
      <c r="O37" s="61"/>
      <c r="P37" s="62" t="str">
        <f>IF($D37="","",IF(AND($F37="",O37=""),"← Enter #",IF(NOT($F37=""),IF(VLOOKUP($F37,'Templ-Cons'!$B$6:$T$107,10,0)="","",VLOOKUP($F37,'Templ-Cons'!$B$6:$T$107,10,0)),"")))</f>
        <v/>
      </c>
      <c r="Q37" s="62" t="str">
        <f>IF(OR($D37="",P37="← Enter #"),"",IF($G37="",VLOOKUP(O37,MatlsData,2,0),VLOOKUP($G37,'Templ-Cons'!$C$6:$T$107,10,0)))</f>
        <v/>
      </c>
      <c r="R37" s="67"/>
      <c r="S37" s="56"/>
      <c r="T37" s="57" t="str">
        <f>IF($D37="","",IF(AND($F37="",S37=""),"← Enter #",IF(NOT($F37=""),IF(VLOOKUP($F37,'Templ-Cons'!$B$6:$T$107,12,0)="","",VLOOKUP($F37,'Templ-Cons'!$B$6:$T$107,12,0)),"")))</f>
        <v/>
      </c>
      <c r="U37" s="57" t="str">
        <f>IF(OR($D37="",T37="← Enter #"),"",IF($G37="",VLOOKUP(S37,MatlsData,2,0),VLOOKUP($G37,'Templ-Cons'!$C$6:$T$107,12,0)))</f>
        <v/>
      </c>
      <c r="V37" s="66"/>
      <c r="W37" s="61"/>
      <c r="X37" s="62" t="str">
        <f>IF($D37="","",IF(AND($F37="",W37=""),"← Enter #",IF(NOT($F37=""),IF(VLOOKUP($F37,'Templ-Cons'!$B$6:$T$107,14,0)="","",VLOOKUP($F37,'Templ-Cons'!$B$6:$T$107,14,0)),"")))</f>
        <v/>
      </c>
      <c r="Y37" s="62" t="str">
        <f>IF(OR($D37="",X37="← Enter #"),"",IF($G37="",VLOOKUP(W37,MatlsData,2,0),VLOOKUP($G37,'Templ-Cons'!$C$6:$T$107,14,0)))</f>
        <v/>
      </c>
      <c r="Z37" s="67"/>
      <c r="AA37" s="56"/>
      <c r="AB37" s="57" t="str">
        <f>IF($D37="","",IF(AND($F37="",AA37=""),"← Enter #",IF(NOT($F37=""),IF(VLOOKUP($F37,'Templ-Cons'!$B$6:$T$107,16,0)="","",VLOOKUP($F37,'Templ-Cons'!$B$6:$T$107,16,0)),"")))</f>
        <v/>
      </c>
      <c r="AC37" s="57" t="str">
        <f>IF(OR($D37="",AB37="← Enter #"),"",IF($G37="",VLOOKUP(AA37,MatlsData,2,0),VLOOKUP($G37,'Templ-Cons'!$C$6:$T$107,16,0)))</f>
        <v/>
      </c>
      <c r="AD37" s="66"/>
      <c r="AE37" s="64"/>
      <c r="AG37" s="65" t="e">
        <f t="shared" si="1"/>
        <v>#N/A</v>
      </c>
    </row>
    <row r="38" spans="1:33">
      <c r="A38" s="9"/>
      <c r="B38" s="53" t="e">
        <f>IF(C38=" ","",VLOOKUP(C38,AO$7:AP$16,2,0)&amp;TEXT((COUNTIF(C$7:C37,"="&amp;C38)+1),0))</f>
        <v>#N/A</v>
      </c>
      <c r="C38" s="54" t="s">
        <v>93</v>
      </c>
      <c r="D38" s="54"/>
      <c r="E38" s="55"/>
      <c r="F38" s="56"/>
      <c r="G38" s="57" t="str">
        <f>IF($F38="","",VLOOKUP($F38,'Templ-Cons'!B$6:C$55,2,0))</f>
        <v/>
      </c>
      <c r="H38" s="66"/>
      <c r="I38" s="68" t="str">
        <f t="shared" si="0"/>
        <v/>
      </c>
      <c r="J38" s="67" t="str">
        <f>IF(D38="","",IF(G38="",VLOOKUP(K38,MatlsData,6,0)+VLOOKUP(O38,MatlsData,6,0)+VLOOKUP(S38,MatlsData,6,0)+VLOOKUP(W38,MatlsData,6,0)+VLOOKUP(AA38,MatlsData,6,0),VLOOKUP(G38,'Templ-Cons'!C37:E106,3,0)))</f>
        <v/>
      </c>
      <c r="K38" s="56"/>
      <c r="L38" s="57" t="str">
        <f>IF($D38="","",IF(AND($F38="",K38=""),"← Enter #",IF(NOT($F38=""),IF(VLOOKUP($F38,'Templ-Cons'!$B$6:$T$107,8,0)="","",VLOOKUP($F38,'Templ-Cons'!$B$6:$T$107,8,0)),"")))</f>
        <v/>
      </c>
      <c r="M38" s="57" t="str">
        <f>IF(OR($D38="",L38="← Enter #"),"",IF($G38="",VLOOKUP(K38,MatlsData,2,0),VLOOKUP($G38,'Templ-Cons'!$C$6:$T$107,8,0)))</f>
        <v/>
      </c>
      <c r="N38" s="66"/>
      <c r="O38" s="61"/>
      <c r="P38" s="62" t="str">
        <f>IF($D38="","",IF(AND($F38="",O38=""),"← Enter #",IF(NOT($F38=""),IF(VLOOKUP($F38,'Templ-Cons'!$B$6:$T$107,10,0)="","",VLOOKUP($F38,'Templ-Cons'!$B$6:$T$107,10,0)),"")))</f>
        <v/>
      </c>
      <c r="Q38" s="62" t="str">
        <f>IF(OR($D38="",P38="← Enter #"),"",IF($G38="",VLOOKUP(O38,MatlsData,2,0),VLOOKUP($G38,'Templ-Cons'!$C$6:$T$107,10,0)))</f>
        <v/>
      </c>
      <c r="R38" s="67"/>
      <c r="S38" s="56"/>
      <c r="T38" s="57" t="str">
        <f>IF($D38="","",IF(AND($F38="",S38=""),"← Enter #",IF(NOT($F38=""),IF(VLOOKUP($F38,'Templ-Cons'!$B$6:$T$107,12,0)="","",VLOOKUP($F38,'Templ-Cons'!$B$6:$T$107,12,0)),"")))</f>
        <v/>
      </c>
      <c r="U38" s="57" t="str">
        <f>IF(OR($D38="",T38="← Enter #"),"",IF($G38="",VLOOKUP(S38,MatlsData,2,0),VLOOKUP($G38,'Templ-Cons'!$C$6:$T$107,12,0)))</f>
        <v/>
      </c>
      <c r="V38" s="66"/>
      <c r="W38" s="61"/>
      <c r="X38" s="62" t="str">
        <f>IF($D38="","",IF(AND($F38="",W38=""),"← Enter #",IF(NOT($F38=""),IF(VLOOKUP($F38,'Templ-Cons'!$B$6:$T$107,14,0)="","",VLOOKUP($F38,'Templ-Cons'!$B$6:$T$107,14,0)),"")))</f>
        <v/>
      </c>
      <c r="Y38" s="62" t="str">
        <f>IF(OR($D38="",X38="← Enter #"),"",IF($G38="",VLOOKUP(W38,MatlsData,2,0),VLOOKUP($G38,'Templ-Cons'!$C$6:$T$107,14,0)))</f>
        <v/>
      </c>
      <c r="Z38" s="67"/>
      <c r="AA38" s="56"/>
      <c r="AB38" s="57" t="str">
        <f>IF($D38="","",IF(AND($F38="",AA38=""),"← Enter #",IF(NOT($F38=""),IF(VLOOKUP($F38,'Templ-Cons'!$B$6:$T$107,16,0)="","",VLOOKUP($F38,'Templ-Cons'!$B$6:$T$107,16,0)),"")))</f>
        <v/>
      </c>
      <c r="AC38" s="57" t="str">
        <f>IF(OR($D38="",AB38="← Enter #"),"",IF($G38="",VLOOKUP(AA38,MatlsData,2,0),VLOOKUP($G38,'Templ-Cons'!$C$6:$T$107,16,0)))</f>
        <v/>
      </c>
      <c r="AD38" s="66"/>
      <c r="AE38" s="64"/>
      <c r="AG38" s="65" t="e">
        <f t="shared" si="1"/>
        <v>#N/A</v>
      </c>
    </row>
    <row r="39" spans="1:33">
      <c r="A39" s="9"/>
      <c r="B39" s="53" t="e">
        <f>IF(C39=" ","",VLOOKUP(C39,AO$7:AP$16,2,0)&amp;TEXT((COUNTIF(C$7:C38,"="&amp;C39)+1),0))</f>
        <v>#N/A</v>
      </c>
      <c r="C39" s="54" t="s">
        <v>93</v>
      </c>
      <c r="D39" s="54"/>
      <c r="E39" s="55"/>
      <c r="F39" s="56"/>
      <c r="G39" s="57" t="str">
        <f>IF($F39="","",VLOOKUP($F39,'Templ-Cons'!B$6:C$55,2,0))</f>
        <v/>
      </c>
      <c r="H39" s="66"/>
      <c r="I39" s="68" t="str">
        <f t="shared" ref="I39:I56" si="3">IF(D39="","",1/(J39+0.03+0.12))</f>
        <v/>
      </c>
      <c r="J39" s="67" t="str">
        <f>IF(D39="","",IF(G39="",VLOOKUP(K39,MatlsData,6,0)+VLOOKUP(O39,MatlsData,6,0)+VLOOKUP(S39,MatlsData,6,0)+VLOOKUP(W39,MatlsData,6,0)+VLOOKUP(AA39,MatlsData,6,0),VLOOKUP(G39,'Templ-Cons'!C38:E107,3,0)))</f>
        <v/>
      </c>
      <c r="K39" s="56"/>
      <c r="L39" s="57" t="str">
        <f>IF($D39="","",IF(AND($F39="",K39=""),"← Enter #",IF(NOT($F39=""),IF(VLOOKUP($F39,'Templ-Cons'!$B$6:$T$107,8,0)="","",VLOOKUP($F39,'Templ-Cons'!$B$6:$T$107,8,0)),"")))</f>
        <v/>
      </c>
      <c r="M39" s="57" t="str">
        <f>IF(OR($D39="",L39="← Enter #"),"",IF($G39="",VLOOKUP(K39,MatlsData,2,0),VLOOKUP($G39,'Templ-Cons'!$C$6:$T$107,8,0)))</f>
        <v/>
      </c>
      <c r="N39" s="66"/>
      <c r="O39" s="61"/>
      <c r="P39" s="62" t="str">
        <f>IF($D39="","",IF(AND($F39="",O39=""),"← Enter #",IF(NOT($F39=""),IF(VLOOKUP($F39,'Templ-Cons'!$B$6:$T$107,10,0)="","",VLOOKUP($F39,'Templ-Cons'!$B$6:$T$107,10,0)),"")))</f>
        <v/>
      </c>
      <c r="Q39" s="62" t="str">
        <f>IF(OR($D39="",P39="← Enter #"),"",IF($G39="",VLOOKUP(O39,MatlsData,2,0),VLOOKUP($G39,'Templ-Cons'!$C$6:$T$107,10,0)))</f>
        <v/>
      </c>
      <c r="R39" s="67"/>
      <c r="S39" s="56"/>
      <c r="T39" s="57" t="str">
        <f>IF($D39="","",IF(AND($F39="",S39=""),"← Enter #",IF(NOT($F39=""),IF(VLOOKUP($F39,'Templ-Cons'!$B$6:$T$107,12,0)="","",VLOOKUP($F39,'Templ-Cons'!$B$6:$T$107,12,0)),"")))</f>
        <v/>
      </c>
      <c r="U39" s="57" t="str">
        <f>IF(OR($D39="",T39="← Enter #"),"",IF($G39="",VLOOKUP(S39,MatlsData,2,0),VLOOKUP($G39,'Templ-Cons'!$C$6:$T$107,12,0)))</f>
        <v/>
      </c>
      <c r="V39" s="66"/>
      <c r="W39" s="61"/>
      <c r="X39" s="62" t="str">
        <f>IF($D39="","",IF(AND($F39="",W39=""),"← Enter #",IF(NOT($F39=""),IF(VLOOKUP($F39,'Templ-Cons'!$B$6:$T$107,14,0)="","",VLOOKUP($F39,'Templ-Cons'!$B$6:$T$107,14,0)),"")))</f>
        <v/>
      </c>
      <c r="Y39" s="62" t="str">
        <f>IF(OR($D39="",X39="← Enter #"),"",IF($G39="",VLOOKUP(W39,MatlsData,2,0),VLOOKUP($G39,'Templ-Cons'!$C$6:$T$107,14,0)))</f>
        <v/>
      </c>
      <c r="Z39" s="67"/>
      <c r="AA39" s="56"/>
      <c r="AB39" s="57" t="str">
        <f>IF($D39="","",IF(AND($F39="",AA39=""),"← Enter #",IF(NOT($F39=""),IF(VLOOKUP($F39,'Templ-Cons'!$B$6:$T$107,16,0)="","",VLOOKUP($F39,'Templ-Cons'!$B$6:$T$107,16,0)),"")))</f>
        <v/>
      </c>
      <c r="AC39" s="57" t="str">
        <f>IF(OR($D39="",AB39="← Enter #"),"",IF($G39="",VLOOKUP(AA39,MatlsData,2,0),VLOOKUP($G39,'Templ-Cons'!$C$6:$T$107,16,0)))</f>
        <v/>
      </c>
      <c r="AD39" s="66"/>
      <c r="AE39" s="64"/>
      <c r="AG39" s="65" t="e">
        <f t="shared" ref="AG39:AG56" si="4">VLOOKUP(C39,AO$7:AU$15,7,0)</f>
        <v>#N/A</v>
      </c>
    </row>
    <row r="40" spans="1:33">
      <c r="A40" s="9"/>
      <c r="B40" s="53" t="e">
        <f>IF(C40=" ","",VLOOKUP(C40,AO$7:AP$16,2,0)&amp;TEXT((COUNTIF(C$7:C39,"="&amp;C40)+1),0))</f>
        <v>#N/A</v>
      </c>
      <c r="C40" s="54" t="s">
        <v>93</v>
      </c>
      <c r="D40" s="54"/>
      <c r="E40" s="55"/>
      <c r="F40" s="56"/>
      <c r="G40" s="57" t="str">
        <f>IF($F40="","",VLOOKUP($F40,'Templ-Cons'!B$6:C$55,2,0))</f>
        <v/>
      </c>
      <c r="H40" s="66"/>
      <c r="I40" s="68" t="str">
        <f t="shared" si="3"/>
        <v/>
      </c>
      <c r="J40" s="67" t="str">
        <f>IF(D40="","",IF(G40="",VLOOKUP(K40,MatlsData,6,0)+VLOOKUP(O40,MatlsData,6,0)+VLOOKUP(S40,MatlsData,6,0)+VLOOKUP(W40,MatlsData,6,0)+VLOOKUP(AA40,MatlsData,6,0),VLOOKUP(G40,'Templ-Cons'!C39:E108,3,0)))</f>
        <v/>
      </c>
      <c r="K40" s="56"/>
      <c r="L40" s="57" t="str">
        <f>IF($D40="","",IF(AND($F40="",K40=""),"← Enter #",IF(NOT($F40=""),IF(VLOOKUP($F40,'Templ-Cons'!$B$6:$T$107,8,0)="","",VLOOKUP($F40,'Templ-Cons'!$B$6:$T$107,8,0)),"")))</f>
        <v/>
      </c>
      <c r="M40" s="57" t="str">
        <f>IF(OR($D40="",L40="← Enter #"),"",IF($G40="",VLOOKUP(K40,MatlsData,2,0),VLOOKUP($G40,'Templ-Cons'!$C$6:$T$107,8,0)))</f>
        <v/>
      </c>
      <c r="N40" s="66"/>
      <c r="O40" s="61"/>
      <c r="P40" s="62" t="str">
        <f>IF($D40="","",IF(AND($F40="",O40=""),"← Enter #",IF(NOT($F40=""),IF(VLOOKUP($F40,'Templ-Cons'!$B$6:$T$107,10,0)="","",VLOOKUP($F40,'Templ-Cons'!$B$6:$T$107,10,0)),"")))</f>
        <v/>
      </c>
      <c r="Q40" s="62" t="str">
        <f>IF(OR($D40="",P40="← Enter #"),"",IF($G40="",VLOOKUP(O40,MatlsData,2,0),VLOOKUP($G40,'Templ-Cons'!$C$6:$T$107,10,0)))</f>
        <v/>
      </c>
      <c r="R40" s="67"/>
      <c r="S40" s="56"/>
      <c r="T40" s="57" t="str">
        <f>IF($D40="","",IF(AND($F40="",S40=""),"← Enter #",IF(NOT($F40=""),IF(VLOOKUP($F40,'Templ-Cons'!$B$6:$T$107,12,0)="","",VLOOKUP($F40,'Templ-Cons'!$B$6:$T$107,12,0)),"")))</f>
        <v/>
      </c>
      <c r="U40" s="57" t="str">
        <f>IF(OR($D40="",T40="← Enter #"),"",IF($G40="",VLOOKUP(S40,MatlsData,2,0),VLOOKUP($G40,'Templ-Cons'!$C$6:$T$107,12,0)))</f>
        <v/>
      </c>
      <c r="V40" s="66"/>
      <c r="W40" s="61"/>
      <c r="X40" s="62" t="str">
        <f>IF($D40="","",IF(AND($F40="",W40=""),"← Enter #",IF(NOT($F40=""),IF(VLOOKUP($F40,'Templ-Cons'!$B$6:$T$107,14,0)="","",VLOOKUP($F40,'Templ-Cons'!$B$6:$T$107,14,0)),"")))</f>
        <v/>
      </c>
      <c r="Y40" s="62" t="str">
        <f>IF(OR($D40="",X40="← Enter #"),"",IF($G40="",VLOOKUP(W40,MatlsData,2,0),VLOOKUP($G40,'Templ-Cons'!$C$6:$T$107,14,0)))</f>
        <v/>
      </c>
      <c r="Z40" s="67"/>
      <c r="AA40" s="56"/>
      <c r="AB40" s="57" t="str">
        <f>IF($D40="","",IF(AND($F40="",AA40=""),"← Enter #",IF(NOT($F40=""),IF(VLOOKUP($F40,'Templ-Cons'!$B$6:$T$107,16,0)="","",VLOOKUP($F40,'Templ-Cons'!$B$6:$T$107,16,0)),"")))</f>
        <v/>
      </c>
      <c r="AC40" s="57" t="str">
        <f>IF(OR($D40="",AB40="← Enter #"),"",IF($G40="",VLOOKUP(AA40,MatlsData,2,0),VLOOKUP($G40,'Templ-Cons'!$C$6:$T$107,16,0)))</f>
        <v/>
      </c>
      <c r="AD40" s="66"/>
      <c r="AE40" s="64"/>
      <c r="AG40" s="65" t="e">
        <f t="shared" si="4"/>
        <v>#N/A</v>
      </c>
    </row>
    <row r="41" spans="1:33">
      <c r="A41" s="9"/>
      <c r="B41" s="53" t="e">
        <f>IF(C41=" ","",VLOOKUP(C41,AO$7:AP$16,2,0)&amp;TEXT((COUNTIF(C$7:C40,"="&amp;C41)+1),0))</f>
        <v>#N/A</v>
      </c>
      <c r="C41" s="54" t="s">
        <v>93</v>
      </c>
      <c r="D41" s="54"/>
      <c r="E41" s="55"/>
      <c r="F41" s="56"/>
      <c r="G41" s="57" t="str">
        <f>IF($F41="","",VLOOKUP($F41,'Templ-Cons'!B$6:C$55,2,0))</f>
        <v/>
      </c>
      <c r="H41" s="66"/>
      <c r="I41" s="68" t="str">
        <f t="shared" si="3"/>
        <v/>
      </c>
      <c r="J41" s="67" t="str">
        <f>IF(D41="","",IF(G41="",VLOOKUP(K41,MatlsData,6,0)+VLOOKUP(O41,MatlsData,6,0)+VLOOKUP(S41,MatlsData,6,0)+VLOOKUP(W41,MatlsData,6,0)+VLOOKUP(AA41,MatlsData,6,0),VLOOKUP(G41,'Templ-Cons'!C40:E109,3,0)))</f>
        <v/>
      </c>
      <c r="K41" s="56"/>
      <c r="L41" s="57" t="str">
        <f>IF($D41="","",IF(AND($F41="",K41=""),"← Enter #",IF(NOT($F41=""),IF(VLOOKUP($F41,'Templ-Cons'!$B$6:$T$107,8,0)="","",VLOOKUP($F41,'Templ-Cons'!$B$6:$T$107,8,0)),"")))</f>
        <v/>
      </c>
      <c r="M41" s="57" t="str">
        <f>IF(OR($D41="",L41="← Enter #"),"",IF($G41="",VLOOKUP(K41,MatlsData,2,0),VLOOKUP($G41,'Templ-Cons'!$C$6:$T$107,8,0)))</f>
        <v/>
      </c>
      <c r="N41" s="66"/>
      <c r="O41" s="61"/>
      <c r="P41" s="62" t="str">
        <f>IF($D41="","",IF(AND($F41="",O41=""),"← Enter #",IF(NOT($F41=""),IF(VLOOKUP($F41,'Templ-Cons'!$B$6:$T$107,10,0)="","",VLOOKUP($F41,'Templ-Cons'!$B$6:$T$107,10,0)),"")))</f>
        <v/>
      </c>
      <c r="Q41" s="62" t="str">
        <f>IF(OR($D41="",P41="← Enter #"),"",IF($G41="",VLOOKUP(O41,MatlsData,2,0),VLOOKUP($G41,'Templ-Cons'!$C$6:$T$107,10,0)))</f>
        <v/>
      </c>
      <c r="R41" s="67"/>
      <c r="S41" s="56"/>
      <c r="T41" s="57" t="str">
        <f>IF($D41="","",IF(AND($F41="",S41=""),"← Enter #",IF(NOT($F41=""),IF(VLOOKUP($F41,'Templ-Cons'!$B$6:$T$107,12,0)="","",VLOOKUP($F41,'Templ-Cons'!$B$6:$T$107,12,0)),"")))</f>
        <v/>
      </c>
      <c r="U41" s="57" t="str">
        <f>IF(OR($D41="",T41="← Enter #"),"",IF($G41="",VLOOKUP(S41,MatlsData,2,0),VLOOKUP($G41,'Templ-Cons'!$C$6:$T$107,12,0)))</f>
        <v/>
      </c>
      <c r="V41" s="66"/>
      <c r="W41" s="61"/>
      <c r="X41" s="62" t="str">
        <f>IF($D41="","",IF(AND($F41="",W41=""),"← Enter #",IF(NOT($F41=""),IF(VLOOKUP($F41,'Templ-Cons'!$B$6:$T$107,14,0)="","",VLOOKUP($F41,'Templ-Cons'!$B$6:$T$107,14,0)),"")))</f>
        <v/>
      </c>
      <c r="Y41" s="62" t="str">
        <f>IF(OR($D41="",X41="← Enter #"),"",IF($G41="",VLOOKUP(W41,MatlsData,2,0),VLOOKUP($G41,'Templ-Cons'!$C$6:$T$107,14,0)))</f>
        <v/>
      </c>
      <c r="Z41" s="67"/>
      <c r="AA41" s="56"/>
      <c r="AB41" s="57" t="str">
        <f>IF($D41="","",IF(AND($F41="",AA41=""),"← Enter #",IF(NOT($F41=""),IF(VLOOKUP($F41,'Templ-Cons'!$B$6:$T$107,16,0)="","",VLOOKUP($F41,'Templ-Cons'!$B$6:$T$107,16,0)),"")))</f>
        <v/>
      </c>
      <c r="AC41" s="57" t="str">
        <f>IF(OR($D41="",AB41="← Enter #"),"",IF($G41="",VLOOKUP(AA41,MatlsData,2,0),VLOOKUP($G41,'Templ-Cons'!$C$6:$T$107,16,0)))</f>
        <v/>
      </c>
      <c r="AD41" s="66"/>
      <c r="AE41" s="64"/>
      <c r="AG41" s="65" t="e">
        <f t="shared" si="4"/>
        <v>#N/A</v>
      </c>
    </row>
    <row r="42" spans="1:33">
      <c r="A42" s="9"/>
      <c r="B42" s="53" t="e">
        <f>IF(C42=" ","",VLOOKUP(C42,AO$7:AP$16,2,0)&amp;TEXT((COUNTIF(C$7:C41,"="&amp;C42)+1),0))</f>
        <v>#N/A</v>
      </c>
      <c r="C42" s="54" t="s">
        <v>93</v>
      </c>
      <c r="D42" s="54"/>
      <c r="E42" s="55"/>
      <c r="F42" s="56"/>
      <c r="G42" s="57" t="str">
        <f>IF($F42="","",VLOOKUP($F42,'Templ-Cons'!B$6:C$55,2,0))</f>
        <v/>
      </c>
      <c r="H42" s="66"/>
      <c r="I42" s="68" t="str">
        <f t="shared" si="3"/>
        <v/>
      </c>
      <c r="J42" s="67" t="str">
        <f>IF(D42="","",IF(G42="",VLOOKUP(K42,MatlsData,6,0)+VLOOKUP(O42,MatlsData,6,0)+VLOOKUP(S42,MatlsData,6,0)+VLOOKUP(W42,MatlsData,6,0)+VLOOKUP(AA42,MatlsData,6,0),VLOOKUP(G42,'Templ-Cons'!C41:E110,3,0)))</f>
        <v/>
      </c>
      <c r="K42" s="56"/>
      <c r="L42" s="57" t="str">
        <f>IF($D42="","",IF(AND($F42="",K42=""),"← Enter #",IF(NOT($F42=""),IF(VLOOKUP($F42,'Templ-Cons'!$B$6:$T$107,8,0)="","",VLOOKUP($F42,'Templ-Cons'!$B$6:$T$107,8,0)),"")))</f>
        <v/>
      </c>
      <c r="M42" s="57" t="str">
        <f>IF(OR($D42="",L42="← Enter #"),"",IF($G42="",VLOOKUP(K42,MatlsData,2,0),VLOOKUP($G42,'Templ-Cons'!$C$6:$T$107,8,0)))</f>
        <v/>
      </c>
      <c r="N42" s="66"/>
      <c r="O42" s="61"/>
      <c r="P42" s="62" t="str">
        <f>IF($D42="","",IF(AND($F42="",O42=""),"← Enter #",IF(NOT($F42=""),IF(VLOOKUP($F42,'Templ-Cons'!$B$6:$T$107,10,0)="","",VLOOKUP($F42,'Templ-Cons'!$B$6:$T$107,10,0)),"")))</f>
        <v/>
      </c>
      <c r="Q42" s="62" t="str">
        <f>IF(OR($D42="",P42="← Enter #"),"",IF($G42="",VLOOKUP(O42,MatlsData,2,0),VLOOKUP($G42,'Templ-Cons'!$C$6:$T$107,10,0)))</f>
        <v/>
      </c>
      <c r="R42" s="67"/>
      <c r="S42" s="56"/>
      <c r="T42" s="57" t="str">
        <f>IF($D42="","",IF(AND($F42="",S42=""),"← Enter #",IF(NOT($F42=""),IF(VLOOKUP($F42,'Templ-Cons'!$B$6:$T$107,12,0)="","",VLOOKUP($F42,'Templ-Cons'!$B$6:$T$107,12,0)),"")))</f>
        <v/>
      </c>
      <c r="U42" s="57" t="str">
        <f>IF(OR($D42="",T42="← Enter #"),"",IF($G42="",VLOOKUP(S42,MatlsData,2,0),VLOOKUP($G42,'Templ-Cons'!$C$6:$T$107,12,0)))</f>
        <v/>
      </c>
      <c r="V42" s="66"/>
      <c r="W42" s="61"/>
      <c r="X42" s="62" t="str">
        <f>IF($D42="","",IF(AND($F42="",W42=""),"← Enter #",IF(NOT($F42=""),IF(VLOOKUP($F42,'Templ-Cons'!$B$6:$T$107,14,0)="","",VLOOKUP($F42,'Templ-Cons'!$B$6:$T$107,14,0)),"")))</f>
        <v/>
      </c>
      <c r="Y42" s="62" t="str">
        <f>IF(OR($D42="",X42="← Enter #"),"",IF($G42="",VLOOKUP(W42,MatlsData,2,0),VLOOKUP($G42,'Templ-Cons'!$C$6:$T$107,14,0)))</f>
        <v/>
      </c>
      <c r="Z42" s="67"/>
      <c r="AA42" s="56"/>
      <c r="AB42" s="57" t="str">
        <f>IF($D42="","",IF(AND($F42="",AA42=""),"← Enter #",IF(NOT($F42=""),IF(VLOOKUP($F42,'Templ-Cons'!$B$6:$T$107,16,0)="","",VLOOKUP($F42,'Templ-Cons'!$B$6:$T$107,16,0)),"")))</f>
        <v/>
      </c>
      <c r="AC42" s="57" t="str">
        <f>IF(OR($D42="",AB42="← Enter #"),"",IF($G42="",VLOOKUP(AA42,MatlsData,2,0),VLOOKUP($G42,'Templ-Cons'!$C$6:$T$107,16,0)))</f>
        <v/>
      </c>
      <c r="AD42" s="66"/>
      <c r="AE42" s="64"/>
      <c r="AG42" s="65" t="e">
        <f t="shared" si="4"/>
        <v>#N/A</v>
      </c>
    </row>
    <row r="43" spans="1:33">
      <c r="A43" s="9"/>
      <c r="B43" s="53" t="e">
        <f>IF(C43=" ","",VLOOKUP(C43,AO$7:AP$16,2,0)&amp;TEXT((COUNTIF(C$7:C42,"="&amp;C43)+1),0))</f>
        <v>#N/A</v>
      </c>
      <c r="C43" s="54" t="s">
        <v>93</v>
      </c>
      <c r="D43" s="54"/>
      <c r="E43" s="55"/>
      <c r="F43" s="56"/>
      <c r="G43" s="57" t="str">
        <f>IF($F43="","",VLOOKUP($F43,'Templ-Cons'!B$6:C$55,2,0))</f>
        <v/>
      </c>
      <c r="H43" s="66"/>
      <c r="I43" s="68" t="str">
        <f t="shared" si="3"/>
        <v/>
      </c>
      <c r="J43" s="67" t="str">
        <f>IF(D43="","",IF(G43="",VLOOKUP(K43,MatlsData,6,0)+VLOOKUP(O43,MatlsData,6,0)+VLOOKUP(S43,MatlsData,6,0)+VLOOKUP(W43,MatlsData,6,0)+VLOOKUP(AA43,MatlsData,6,0),VLOOKUP(G43,'Templ-Cons'!C42:E111,3,0)))</f>
        <v/>
      </c>
      <c r="K43" s="56"/>
      <c r="L43" s="57" t="str">
        <f>IF($D43="","",IF(AND($F43="",K43=""),"← Enter #",IF(NOT($F43=""),IF(VLOOKUP($F43,'Templ-Cons'!$B$6:$T$107,8,0)="","",VLOOKUP($F43,'Templ-Cons'!$B$6:$T$107,8,0)),"")))</f>
        <v/>
      </c>
      <c r="M43" s="57" t="str">
        <f>IF(OR($D43="",L43="← Enter #"),"",IF($G43="",VLOOKUP(K43,MatlsData,2,0),VLOOKUP($G43,'Templ-Cons'!$C$6:$T$107,8,0)))</f>
        <v/>
      </c>
      <c r="N43" s="66"/>
      <c r="O43" s="61"/>
      <c r="P43" s="62" t="str">
        <f>IF($D43="","",IF(AND($F43="",O43=""),"← Enter #",IF(NOT($F43=""),IF(VLOOKUP($F43,'Templ-Cons'!$B$6:$T$107,10,0)="","",VLOOKUP($F43,'Templ-Cons'!$B$6:$T$107,10,0)),"")))</f>
        <v/>
      </c>
      <c r="Q43" s="62" t="str">
        <f>IF(OR($D43="",P43="← Enter #"),"",IF($G43="",VLOOKUP(O43,MatlsData,2,0),VLOOKUP($G43,'Templ-Cons'!$C$6:$T$107,10,0)))</f>
        <v/>
      </c>
      <c r="R43" s="67"/>
      <c r="S43" s="56"/>
      <c r="T43" s="57" t="str">
        <f>IF($D43="","",IF(AND($F43="",S43=""),"← Enter #",IF(NOT($F43=""),IF(VLOOKUP($F43,'Templ-Cons'!$B$6:$T$107,12,0)="","",VLOOKUP($F43,'Templ-Cons'!$B$6:$T$107,12,0)),"")))</f>
        <v/>
      </c>
      <c r="U43" s="57" t="str">
        <f>IF(OR($D43="",T43="← Enter #"),"",IF($G43="",VLOOKUP(S43,MatlsData,2,0),VLOOKUP($G43,'Templ-Cons'!$C$6:$T$107,12,0)))</f>
        <v/>
      </c>
      <c r="V43" s="66"/>
      <c r="W43" s="61"/>
      <c r="X43" s="62" t="str">
        <f>IF($D43="","",IF(AND($F43="",W43=""),"← Enter #",IF(NOT($F43=""),IF(VLOOKUP($F43,'Templ-Cons'!$B$6:$T$107,14,0)="","",VLOOKUP($F43,'Templ-Cons'!$B$6:$T$107,14,0)),"")))</f>
        <v/>
      </c>
      <c r="Y43" s="62" t="str">
        <f>IF(OR($D43="",X43="← Enter #"),"",IF($G43="",VLOOKUP(W43,MatlsData,2,0),VLOOKUP($G43,'Templ-Cons'!$C$6:$T$107,14,0)))</f>
        <v/>
      </c>
      <c r="Z43" s="67"/>
      <c r="AA43" s="56"/>
      <c r="AB43" s="57" t="str">
        <f>IF($D43="","",IF(AND($F43="",AA43=""),"← Enter #",IF(NOT($F43=""),IF(VLOOKUP($F43,'Templ-Cons'!$B$6:$T$107,16,0)="","",VLOOKUP($F43,'Templ-Cons'!$B$6:$T$107,16,0)),"")))</f>
        <v/>
      </c>
      <c r="AC43" s="57" t="str">
        <f>IF(OR($D43="",AB43="← Enter #"),"",IF($G43="",VLOOKUP(AA43,MatlsData,2,0),VLOOKUP($G43,'Templ-Cons'!$C$6:$T$107,16,0)))</f>
        <v/>
      </c>
      <c r="AD43" s="66"/>
      <c r="AE43" s="64"/>
      <c r="AG43" s="65" t="e">
        <f t="shared" si="4"/>
        <v>#N/A</v>
      </c>
    </row>
    <row r="44" spans="1:33">
      <c r="A44" s="9"/>
      <c r="B44" s="53" t="e">
        <f>IF(C44=" ","",VLOOKUP(C44,AO$7:AP$16,2,0)&amp;TEXT((COUNTIF(C$7:C43,"="&amp;C44)+1),0))</f>
        <v>#N/A</v>
      </c>
      <c r="C44" s="54" t="s">
        <v>93</v>
      </c>
      <c r="D44" s="54"/>
      <c r="E44" s="55"/>
      <c r="F44" s="56"/>
      <c r="G44" s="57" t="str">
        <f>IF($F44="","",VLOOKUP($F44,'Templ-Cons'!B$6:C$55,2,0))</f>
        <v/>
      </c>
      <c r="H44" s="66"/>
      <c r="I44" s="68" t="str">
        <f t="shared" si="3"/>
        <v/>
      </c>
      <c r="J44" s="67" t="str">
        <f>IF(D44="","",IF(G44="",VLOOKUP(K44,MatlsData,6,0)+VLOOKUP(O44,MatlsData,6,0)+VLOOKUP(S44,MatlsData,6,0)+VLOOKUP(W44,MatlsData,6,0)+VLOOKUP(AA44,MatlsData,6,0),VLOOKUP(G44,'Templ-Cons'!C43:E112,3,0)))</f>
        <v/>
      </c>
      <c r="K44" s="56"/>
      <c r="L44" s="57" t="str">
        <f>IF($D44="","",IF(AND($F44="",K44=""),"← Enter #",IF(NOT($F44=""),IF(VLOOKUP($F44,'Templ-Cons'!$B$6:$T$107,8,0)="","",VLOOKUP($F44,'Templ-Cons'!$B$6:$T$107,8,0)),"")))</f>
        <v/>
      </c>
      <c r="M44" s="57" t="str">
        <f>IF(OR($D44="",L44="← Enter #"),"",IF($G44="",VLOOKUP(K44,MatlsData,2,0),VLOOKUP($G44,'Templ-Cons'!$C$6:$T$107,8,0)))</f>
        <v/>
      </c>
      <c r="N44" s="66"/>
      <c r="O44" s="61"/>
      <c r="P44" s="62" t="str">
        <f>IF($D44="","",IF(AND($F44="",O44=""),"← Enter #",IF(NOT($F44=""),IF(VLOOKUP($F44,'Templ-Cons'!$B$6:$T$107,10,0)="","",VLOOKUP($F44,'Templ-Cons'!$B$6:$T$107,10,0)),"")))</f>
        <v/>
      </c>
      <c r="Q44" s="62" t="str">
        <f>IF(OR($D44="",P44="← Enter #"),"",IF($G44="",VLOOKUP(O44,MatlsData,2,0),VLOOKUP($G44,'Templ-Cons'!$C$6:$T$107,10,0)))</f>
        <v/>
      </c>
      <c r="R44" s="67"/>
      <c r="S44" s="56"/>
      <c r="T44" s="57" t="str">
        <f>IF($D44="","",IF(AND($F44="",S44=""),"← Enter #",IF(NOT($F44=""),IF(VLOOKUP($F44,'Templ-Cons'!$B$6:$T$107,12,0)="","",VLOOKUP($F44,'Templ-Cons'!$B$6:$T$107,12,0)),"")))</f>
        <v/>
      </c>
      <c r="U44" s="57" t="str">
        <f>IF(OR($D44="",T44="← Enter #"),"",IF($G44="",VLOOKUP(S44,MatlsData,2,0),VLOOKUP($G44,'Templ-Cons'!$C$6:$T$107,12,0)))</f>
        <v/>
      </c>
      <c r="V44" s="66"/>
      <c r="W44" s="61"/>
      <c r="X44" s="62" t="str">
        <f>IF($D44="","",IF(AND($F44="",W44=""),"← Enter #",IF(NOT($F44=""),IF(VLOOKUP($F44,'Templ-Cons'!$B$6:$T$107,14,0)="","",VLOOKUP($F44,'Templ-Cons'!$B$6:$T$107,14,0)),"")))</f>
        <v/>
      </c>
      <c r="Y44" s="62" t="str">
        <f>IF(OR($D44="",X44="← Enter #"),"",IF($G44="",VLOOKUP(W44,MatlsData,2,0),VLOOKUP($G44,'Templ-Cons'!$C$6:$T$107,14,0)))</f>
        <v/>
      </c>
      <c r="Z44" s="67"/>
      <c r="AA44" s="56"/>
      <c r="AB44" s="57" t="str">
        <f>IF($D44="","",IF(AND($F44="",AA44=""),"← Enter #",IF(NOT($F44=""),IF(VLOOKUP($F44,'Templ-Cons'!$B$6:$T$107,16,0)="","",VLOOKUP($F44,'Templ-Cons'!$B$6:$T$107,16,0)),"")))</f>
        <v/>
      </c>
      <c r="AC44" s="57" t="str">
        <f>IF(OR($D44="",AB44="← Enter #"),"",IF($G44="",VLOOKUP(AA44,MatlsData,2,0),VLOOKUP($G44,'Templ-Cons'!$C$6:$T$107,16,0)))</f>
        <v/>
      </c>
      <c r="AD44" s="66"/>
      <c r="AE44" s="64"/>
      <c r="AG44" s="65" t="e">
        <f t="shared" si="4"/>
        <v>#N/A</v>
      </c>
    </row>
    <row r="45" spans="1:33">
      <c r="A45" s="9"/>
      <c r="B45" s="53" t="e">
        <f>IF(C45=" ","",VLOOKUP(C45,AO$7:AP$16,2,0)&amp;TEXT((COUNTIF(C$7:C44,"="&amp;C45)+1),0))</f>
        <v>#N/A</v>
      </c>
      <c r="C45" s="54" t="s">
        <v>93</v>
      </c>
      <c r="D45" s="54"/>
      <c r="E45" s="55"/>
      <c r="F45" s="56"/>
      <c r="G45" s="57" t="str">
        <f>IF($F45="","",VLOOKUP($F45,'Templ-Cons'!B$6:C$55,2,0))</f>
        <v/>
      </c>
      <c r="H45" s="66"/>
      <c r="I45" s="68" t="str">
        <f t="shared" si="3"/>
        <v/>
      </c>
      <c r="J45" s="67" t="str">
        <f>IF(D45="","",IF(G45="",VLOOKUP(K45,MatlsData,6,0)+VLOOKUP(O45,MatlsData,6,0)+VLOOKUP(S45,MatlsData,6,0)+VLOOKUP(W45,MatlsData,6,0)+VLOOKUP(AA45,MatlsData,6,0),VLOOKUP(G45,'Templ-Cons'!C44:E113,3,0)))</f>
        <v/>
      </c>
      <c r="K45" s="56"/>
      <c r="L45" s="57" t="str">
        <f>IF($D45="","",IF(AND($F45="",K45=""),"← Enter #",IF(NOT($F45=""),IF(VLOOKUP($F45,'Templ-Cons'!$B$6:$T$107,8,0)="","",VLOOKUP($F45,'Templ-Cons'!$B$6:$T$107,8,0)),"")))</f>
        <v/>
      </c>
      <c r="M45" s="57" t="str">
        <f>IF(OR($D45="",L45="← Enter #"),"",IF($G45="",VLOOKUP(K45,MatlsData,2,0),VLOOKUP($G45,'Templ-Cons'!$C$6:$T$107,8,0)))</f>
        <v/>
      </c>
      <c r="N45" s="66"/>
      <c r="O45" s="61"/>
      <c r="P45" s="62" t="str">
        <f>IF($D45="","",IF(AND($F45="",O45=""),"← Enter #",IF(NOT($F45=""),IF(VLOOKUP($F45,'Templ-Cons'!$B$6:$T$107,10,0)="","",VLOOKUP($F45,'Templ-Cons'!$B$6:$T$107,10,0)),"")))</f>
        <v/>
      </c>
      <c r="Q45" s="62" t="str">
        <f>IF(OR($D45="",P45="← Enter #"),"",IF($G45="",VLOOKUP(O45,MatlsData,2,0),VLOOKUP($G45,'Templ-Cons'!$C$6:$T$107,10,0)))</f>
        <v/>
      </c>
      <c r="R45" s="67"/>
      <c r="S45" s="56"/>
      <c r="T45" s="57" t="str">
        <f>IF($D45="","",IF(AND($F45="",S45=""),"← Enter #",IF(NOT($F45=""),IF(VLOOKUP($F45,'Templ-Cons'!$B$6:$T$107,12,0)="","",VLOOKUP($F45,'Templ-Cons'!$B$6:$T$107,12,0)),"")))</f>
        <v/>
      </c>
      <c r="U45" s="57" t="str">
        <f>IF(OR($D45="",T45="← Enter #"),"",IF($G45="",VLOOKUP(S45,MatlsData,2,0),VLOOKUP($G45,'Templ-Cons'!$C$6:$T$107,12,0)))</f>
        <v/>
      </c>
      <c r="V45" s="66"/>
      <c r="W45" s="61"/>
      <c r="X45" s="62" t="str">
        <f>IF($D45="","",IF(AND($F45="",W45=""),"← Enter #",IF(NOT($F45=""),IF(VLOOKUP($F45,'Templ-Cons'!$B$6:$T$107,14,0)="","",VLOOKUP($F45,'Templ-Cons'!$B$6:$T$107,14,0)),"")))</f>
        <v/>
      </c>
      <c r="Y45" s="62" t="str">
        <f>IF(OR($D45="",X45="← Enter #"),"",IF($G45="",VLOOKUP(W45,MatlsData,2,0),VLOOKUP($G45,'Templ-Cons'!$C$6:$T$107,14,0)))</f>
        <v/>
      </c>
      <c r="Z45" s="67"/>
      <c r="AA45" s="56"/>
      <c r="AB45" s="57" t="str">
        <f>IF($D45="","",IF(AND($F45="",AA45=""),"← Enter #",IF(NOT($F45=""),IF(VLOOKUP($F45,'Templ-Cons'!$B$6:$T$107,16,0)="","",VLOOKUP($F45,'Templ-Cons'!$B$6:$T$107,16,0)),"")))</f>
        <v/>
      </c>
      <c r="AC45" s="57" t="str">
        <f>IF(OR($D45="",AB45="← Enter #"),"",IF($G45="",VLOOKUP(AA45,MatlsData,2,0),VLOOKUP($G45,'Templ-Cons'!$C$6:$T$107,16,0)))</f>
        <v/>
      </c>
      <c r="AD45" s="66"/>
      <c r="AE45" s="64"/>
      <c r="AG45" s="65" t="e">
        <f t="shared" si="4"/>
        <v>#N/A</v>
      </c>
    </row>
    <row r="46" spans="1:33">
      <c r="A46" s="9"/>
      <c r="B46" s="53" t="e">
        <f>IF(C46=" ","",VLOOKUP(C46,AO$7:AP$16,2,0)&amp;TEXT((COUNTIF(C$7:C45,"="&amp;C46)+1),0))</f>
        <v>#N/A</v>
      </c>
      <c r="C46" s="54" t="s">
        <v>93</v>
      </c>
      <c r="D46" s="54"/>
      <c r="E46" s="55"/>
      <c r="F46" s="56"/>
      <c r="G46" s="57" t="str">
        <f>IF($F46="","",VLOOKUP($F46,'Templ-Cons'!B$6:C$55,2,0))</f>
        <v/>
      </c>
      <c r="H46" s="66"/>
      <c r="I46" s="68" t="str">
        <f t="shared" si="3"/>
        <v/>
      </c>
      <c r="J46" s="67" t="str">
        <f>IF(D46="","",IF(G46="",VLOOKUP(K46,MatlsData,6,0)+VLOOKUP(O46,MatlsData,6,0)+VLOOKUP(S46,MatlsData,6,0)+VLOOKUP(W46,MatlsData,6,0)+VLOOKUP(AA46,MatlsData,6,0),VLOOKUP(G46,'Templ-Cons'!C45:E114,3,0)))</f>
        <v/>
      </c>
      <c r="K46" s="56"/>
      <c r="L46" s="57" t="str">
        <f>IF($D46="","",IF(AND($F46="",K46=""),"← Enter #",IF(NOT($F46=""),IF(VLOOKUP($F46,'Templ-Cons'!$B$6:$T$107,8,0)="","",VLOOKUP($F46,'Templ-Cons'!$B$6:$T$107,8,0)),"")))</f>
        <v/>
      </c>
      <c r="M46" s="57" t="str">
        <f>IF(OR($D46="",L46="← Enter #"),"",IF($G46="",VLOOKUP(K46,MatlsData,2,0),VLOOKUP($G46,'Templ-Cons'!$C$6:$T$107,8,0)))</f>
        <v/>
      </c>
      <c r="N46" s="66"/>
      <c r="O46" s="61"/>
      <c r="P46" s="62" t="str">
        <f>IF($D46="","",IF(AND($F46="",O46=""),"← Enter #",IF(NOT($F46=""),IF(VLOOKUP($F46,'Templ-Cons'!$B$6:$T$107,10,0)="","",VLOOKUP($F46,'Templ-Cons'!$B$6:$T$107,10,0)),"")))</f>
        <v/>
      </c>
      <c r="Q46" s="62" t="str">
        <f>IF(OR($D46="",P46="← Enter #"),"",IF($G46="",VLOOKUP(O46,MatlsData,2,0),VLOOKUP($G46,'Templ-Cons'!$C$6:$T$107,10,0)))</f>
        <v/>
      </c>
      <c r="R46" s="67"/>
      <c r="S46" s="56"/>
      <c r="T46" s="57" t="str">
        <f>IF($D46="","",IF(AND($F46="",S46=""),"← Enter #",IF(NOT($F46=""),IF(VLOOKUP($F46,'Templ-Cons'!$B$6:$T$107,12,0)="","",VLOOKUP($F46,'Templ-Cons'!$B$6:$T$107,12,0)),"")))</f>
        <v/>
      </c>
      <c r="U46" s="57" t="str">
        <f>IF(OR($D46="",T46="← Enter #"),"",IF($G46="",VLOOKUP(S46,MatlsData,2,0),VLOOKUP($G46,'Templ-Cons'!$C$6:$T$107,12,0)))</f>
        <v/>
      </c>
      <c r="V46" s="66"/>
      <c r="W46" s="61"/>
      <c r="X46" s="62" t="str">
        <f>IF($D46="","",IF(AND($F46="",W46=""),"← Enter #",IF(NOT($F46=""),IF(VLOOKUP($F46,'Templ-Cons'!$B$6:$T$107,14,0)="","",VLOOKUP($F46,'Templ-Cons'!$B$6:$T$107,14,0)),"")))</f>
        <v/>
      </c>
      <c r="Y46" s="62" t="str">
        <f>IF(OR($D46="",X46="← Enter #"),"",IF($G46="",VLOOKUP(W46,MatlsData,2,0),VLOOKUP($G46,'Templ-Cons'!$C$6:$T$107,14,0)))</f>
        <v/>
      </c>
      <c r="Z46" s="67"/>
      <c r="AA46" s="56"/>
      <c r="AB46" s="57" t="str">
        <f>IF($D46="","",IF(AND($F46="",AA46=""),"← Enter #",IF(NOT($F46=""),IF(VLOOKUP($F46,'Templ-Cons'!$B$6:$T$107,16,0)="","",VLOOKUP($F46,'Templ-Cons'!$B$6:$T$107,16,0)),"")))</f>
        <v/>
      </c>
      <c r="AC46" s="57" t="str">
        <f>IF(OR($D46="",AB46="← Enter #"),"",IF($G46="",VLOOKUP(AA46,MatlsData,2,0),VLOOKUP($G46,'Templ-Cons'!$C$6:$T$107,16,0)))</f>
        <v/>
      </c>
      <c r="AD46" s="66"/>
      <c r="AE46" s="64"/>
      <c r="AG46" s="65" t="e">
        <f t="shared" si="4"/>
        <v>#N/A</v>
      </c>
    </row>
    <row r="47" spans="1:33">
      <c r="A47" s="9"/>
      <c r="B47" s="53" t="e">
        <f>IF(C47=" ","",VLOOKUP(C47,AO$7:AP$16,2,0)&amp;TEXT((COUNTIF(C$7:C46,"="&amp;C47)+1),0))</f>
        <v>#N/A</v>
      </c>
      <c r="C47" s="54" t="s">
        <v>93</v>
      </c>
      <c r="D47" s="54"/>
      <c r="E47" s="55"/>
      <c r="F47" s="56"/>
      <c r="G47" s="57" t="str">
        <f>IF($F47="","",VLOOKUP($F47,'Templ-Cons'!B$6:C$55,2,0))</f>
        <v/>
      </c>
      <c r="H47" s="66"/>
      <c r="I47" s="68" t="str">
        <f t="shared" si="3"/>
        <v/>
      </c>
      <c r="J47" s="67" t="str">
        <f>IF(D47="","",IF(G47="",VLOOKUP(K47,MatlsData,6,0)+VLOOKUP(O47,MatlsData,6,0)+VLOOKUP(S47,MatlsData,6,0)+VLOOKUP(W47,MatlsData,6,0)+VLOOKUP(AA47,MatlsData,6,0),VLOOKUP(G47,'Templ-Cons'!C46:E115,3,0)))</f>
        <v/>
      </c>
      <c r="K47" s="56"/>
      <c r="L47" s="57" t="str">
        <f>IF($D47="","",IF(AND($F47="",K47=""),"← Enter #",IF(NOT($F47=""),IF(VLOOKUP($F47,'Templ-Cons'!$B$6:$T$107,8,0)="","",VLOOKUP($F47,'Templ-Cons'!$B$6:$T$107,8,0)),"")))</f>
        <v/>
      </c>
      <c r="M47" s="57" t="str">
        <f>IF(OR($D47="",L47="← Enter #"),"",IF($G47="",VLOOKUP(K47,MatlsData,2,0),VLOOKUP($G47,'Templ-Cons'!$C$6:$T$107,8,0)))</f>
        <v/>
      </c>
      <c r="N47" s="66"/>
      <c r="O47" s="61"/>
      <c r="P47" s="62" t="str">
        <f>IF($D47="","",IF(AND($F47="",O47=""),"← Enter #",IF(NOT($F47=""),IF(VLOOKUP($F47,'Templ-Cons'!$B$6:$T$107,10,0)="","",VLOOKUP($F47,'Templ-Cons'!$B$6:$T$107,10,0)),"")))</f>
        <v/>
      </c>
      <c r="Q47" s="62" t="str">
        <f>IF(OR($D47="",P47="← Enter #"),"",IF($G47="",VLOOKUP(O47,MatlsData,2,0),VLOOKUP($G47,'Templ-Cons'!$C$6:$T$107,10,0)))</f>
        <v/>
      </c>
      <c r="R47" s="67"/>
      <c r="S47" s="56"/>
      <c r="T47" s="57" t="str">
        <f>IF($D47="","",IF(AND($F47="",S47=""),"← Enter #",IF(NOT($F47=""),IF(VLOOKUP($F47,'Templ-Cons'!$B$6:$T$107,12,0)="","",VLOOKUP($F47,'Templ-Cons'!$B$6:$T$107,12,0)),"")))</f>
        <v/>
      </c>
      <c r="U47" s="57" t="str">
        <f>IF(OR($D47="",T47="← Enter #"),"",IF($G47="",VLOOKUP(S47,MatlsData,2,0),VLOOKUP($G47,'Templ-Cons'!$C$6:$T$107,12,0)))</f>
        <v/>
      </c>
      <c r="V47" s="66"/>
      <c r="W47" s="61"/>
      <c r="X47" s="62" t="str">
        <f>IF($D47="","",IF(AND($F47="",W47=""),"← Enter #",IF(NOT($F47=""),IF(VLOOKUP($F47,'Templ-Cons'!$B$6:$T$107,14,0)="","",VLOOKUP($F47,'Templ-Cons'!$B$6:$T$107,14,0)),"")))</f>
        <v/>
      </c>
      <c r="Y47" s="62" t="str">
        <f>IF(OR($D47="",X47="← Enter #"),"",IF($G47="",VLOOKUP(W47,MatlsData,2,0),VLOOKUP($G47,'Templ-Cons'!$C$6:$T$107,14,0)))</f>
        <v/>
      </c>
      <c r="Z47" s="67"/>
      <c r="AA47" s="56"/>
      <c r="AB47" s="57" t="str">
        <f>IF($D47="","",IF(AND($F47="",AA47=""),"← Enter #",IF(NOT($F47=""),IF(VLOOKUP($F47,'Templ-Cons'!$B$6:$T$107,16,0)="","",VLOOKUP($F47,'Templ-Cons'!$B$6:$T$107,16,0)),"")))</f>
        <v/>
      </c>
      <c r="AC47" s="57" t="str">
        <f>IF(OR($D47="",AB47="← Enter #"),"",IF($G47="",VLOOKUP(AA47,MatlsData,2,0),VLOOKUP($G47,'Templ-Cons'!$C$6:$T$107,16,0)))</f>
        <v/>
      </c>
      <c r="AD47" s="66"/>
      <c r="AE47" s="64"/>
      <c r="AG47" s="65" t="e">
        <f t="shared" si="4"/>
        <v>#N/A</v>
      </c>
    </row>
    <row r="48" spans="1:33">
      <c r="A48" s="9"/>
      <c r="B48" s="53" t="e">
        <f>IF(C48=" ","",VLOOKUP(C48,AO$7:AP$16,2,0)&amp;TEXT((COUNTIF(C$7:C47,"="&amp;C48)+1),0))</f>
        <v>#N/A</v>
      </c>
      <c r="C48" s="54" t="s">
        <v>93</v>
      </c>
      <c r="D48" s="54"/>
      <c r="E48" s="55"/>
      <c r="F48" s="56"/>
      <c r="G48" s="57" t="str">
        <f>IF($F48="","",VLOOKUP($F48,'Templ-Cons'!B$6:C$55,2,0))</f>
        <v/>
      </c>
      <c r="H48" s="66"/>
      <c r="I48" s="68" t="str">
        <f t="shared" si="3"/>
        <v/>
      </c>
      <c r="J48" s="67" t="str">
        <f>IF(D48="","",IF(G48="",VLOOKUP(K48,MatlsData,6,0)+VLOOKUP(O48,MatlsData,6,0)+VLOOKUP(S48,MatlsData,6,0)+VLOOKUP(W48,MatlsData,6,0)+VLOOKUP(AA48,MatlsData,6,0),VLOOKUP(G48,'Templ-Cons'!C47:E116,3,0)))</f>
        <v/>
      </c>
      <c r="K48" s="56"/>
      <c r="L48" s="57" t="str">
        <f>IF($D48="","",IF(AND($F48="",K48=""),"← Enter #",IF(NOT($F48=""),IF(VLOOKUP($F48,'Templ-Cons'!$B$6:$T$107,8,0)="","",VLOOKUP($F48,'Templ-Cons'!$B$6:$T$107,8,0)),"")))</f>
        <v/>
      </c>
      <c r="M48" s="57" t="str">
        <f>IF(OR($D48="",L48="← Enter #"),"",IF($G48="",VLOOKUP(K48,MatlsData,2,0),VLOOKUP($G48,'Templ-Cons'!$C$6:$T$107,8,0)))</f>
        <v/>
      </c>
      <c r="N48" s="66"/>
      <c r="O48" s="61"/>
      <c r="P48" s="62" t="str">
        <f>IF($D48="","",IF(AND($F48="",O48=""),"← Enter #",IF(NOT($F48=""),IF(VLOOKUP($F48,'Templ-Cons'!$B$6:$T$107,10,0)="","",VLOOKUP($F48,'Templ-Cons'!$B$6:$T$107,10,0)),"")))</f>
        <v/>
      </c>
      <c r="Q48" s="62" t="str">
        <f>IF(OR($D48="",P48="← Enter #"),"",IF($G48="",VLOOKUP(O48,MatlsData,2,0),VLOOKUP($G48,'Templ-Cons'!$C$6:$T$107,10,0)))</f>
        <v/>
      </c>
      <c r="R48" s="67"/>
      <c r="S48" s="56"/>
      <c r="T48" s="57" t="str">
        <f>IF($D48="","",IF(AND($F48="",S48=""),"← Enter #",IF(NOT($F48=""),IF(VLOOKUP($F48,'Templ-Cons'!$B$6:$T$107,12,0)="","",VLOOKUP($F48,'Templ-Cons'!$B$6:$T$107,12,0)),"")))</f>
        <v/>
      </c>
      <c r="U48" s="57" t="str">
        <f>IF(OR($D48="",T48="← Enter #"),"",IF($G48="",VLOOKUP(S48,MatlsData,2,0),VLOOKUP($G48,'Templ-Cons'!$C$6:$T$107,12,0)))</f>
        <v/>
      </c>
      <c r="V48" s="66"/>
      <c r="W48" s="61"/>
      <c r="X48" s="62" t="str">
        <f>IF($D48="","",IF(AND($F48="",W48=""),"← Enter #",IF(NOT($F48=""),IF(VLOOKUP($F48,'Templ-Cons'!$B$6:$T$107,14,0)="","",VLOOKUP($F48,'Templ-Cons'!$B$6:$T$107,14,0)),"")))</f>
        <v/>
      </c>
      <c r="Y48" s="62" t="str">
        <f>IF(OR($D48="",X48="← Enter #"),"",IF($G48="",VLOOKUP(W48,MatlsData,2,0),VLOOKUP($G48,'Templ-Cons'!$C$6:$T$107,14,0)))</f>
        <v/>
      </c>
      <c r="Z48" s="67"/>
      <c r="AA48" s="56"/>
      <c r="AB48" s="57" t="str">
        <f>IF($D48="","",IF(AND($F48="",AA48=""),"← Enter #",IF(NOT($F48=""),IF(VLOOKUP($F48,'Templ-Cons'!$B$6:$T$107,16,0)="","",VLOOKUP($F48,'Templ-Cons'!$B$6:$T$107,16,0)),"")))</f>
        <v/>
      </c>
      <c r="AC48" s="57" t="str">
        <f>IF(OR($D48="",AB48="← Enter #"),"",IF($G48="",VLOOKUP(AA48,MatlsData,2,0),VLOOKUP($G48,'Templ-Cons'!$C$6:$T$107,16,0)))</f>
        <v/>
      </c>
      <c r="AD48" s="66"/>
      <c r="AE48" s="64"/>
      <c r="AG48" s="65" t="e">
        <f t="shared" si="4"/>
        <v>#N/A</v>
      </c>
    </row>
    <row r="49" spans="1:33">
      <c r="A49" s="9"/>
      <c r="B49" s="53" t="e">
        <f>IF(C49=" ","",VLOOKUP(C49,AO$7:AP$16,2,0)&amp;TEXT((COUNTIF(C$7:C48,"="&amp;C49)+1),0))</f>
        <v>#N/A</v>
      </c>
      <c r="C49" s="54" t="s">
        <v>93</v>
      </c>
      <c r="D49" s="54"/>
      <c r="E49" s="55"/>
      <c r="F49" s="56"/>
      <c r="G49" s="57" t="str">
        <f>IF($F49="","",VLOOKUP($F49,'Templ-Cons'!B$6:C$55,2,0))</f>
        <v/>
      </c>
      <c r="H49" s="66"/>
      <c r="I49" s="68" t="str">
        <f t="shared" si="3"/>
        <v/>
      </c>
      <c r="J49" s="67" t="str">
        <f>IF(D49="","",IF(G49="",VLOOKUP(K49,MatlsData,6,0)+VLOOKUP(O49,MatlsData,6,0)+VLOOKUP(S49,MatlsData,6,0)+VLOOKUP(W49,MatlsData,6,0)+VLOOKUP(AA49,MatlsData,6,0),VLOOKUP(G49,'Templ-Cons'!C48:E117,3,0)))</f>
        <v/>
      </c>
      <c r="K49" s="56"/>
      <c r="L49" s="57" t="str">
        <f>IF($D49="","",IF(AND($F49="",K49=""),"← Enter #",IF(NOT($F49=""),IF(VLOOKUP($F49,'Templ-Cons'!$B$6:$T$107,8,0)="","",VLOOKUP($F49,'Templ-Cons'!$B$6:$T$107,8,0)),"")))</f>
        <v/>
      </c>
      <c r="M49" s="57" t="str">
        <f>IF(OR($D49="",L49="← Enter #"),"",IF($G49="",VLOOKUP(K49,MatlsData,2,0),VLOOKUP($G49,'Templ-Cons'!$C$6:$T$107,8,0)))</f>
        <v/>
      </c>
      <c r="N49" s="66"/>
      <c r="O49" s="61"/>
      <c r="P49" s="62" t="str">
        <f>IF($D49="","",IF(AND($F49="",O49=""),"← Enter #",IF(NOT($F49=""),IF(VLOOKUP($F49,'Templ-Cons'!$B$6:$T$107,10,0)="","",VLOOKUP($F49,'Templ-Cons'!$B$6:$T$107,10,0)),"")))</f>
        <v/>
      </c>
      <c r="Q49" s="62" t="str">
        <f>IF(OR($D49="",P49="← Enter #"),"",IF($G49="",VLOOKUP(O49,MatlsData,2,0),VLOOKUP($G49,'Templ-Cons'!$C$6:$T$107,10,0)))</f>
        <v/>
      </c>
      <c r="R49" s="67"/>
      <c r="S49" s="56"/>
      <c r="T49" s="57" t="str">
        <f>IF($D49="","",IF(AND($F49="",S49=""),"← Enter #",IF(NOT($F49=""),IF(VLOOKUP($F49,'Templ-Cons'!$B$6:$T$107,12,0)="","",VLOOKUP($F49,'Templ-Cons'!$B$6:$T$107,12,0)),"")))</f>
        <v/>
      </c>
      <c r="U49" s="57" t="str">
        <f>IF(OR($D49="",T49="← Enter #"),"",IF($G49="",VLOOKUP(S49,MatlsData,2,0),VLOOKUP($G49,'Templ-Cons'!$C$6:$T$107,12,0)))</f>
        <v/>
      </c>
      <c r="V49" s="66"/>
      <c r="W49" s="61"/>
      <c r="X49" s="62" t="str">
        <f>IF($D49="","",IF(AND($F49="",W49=""),"← Enter #",IF(NOT($F49=""),IF(VLOOKUP($F49,'Templ-Cons'!$B$6:$T$107,14,0)="","",VLOOKUP($F49,'Templ-Cons'!$B$6:$T$107,14,0)),"")))</f>
        <v/>
      </c>
      <c r="Y49" s="62" t="str">
        <f>IF(OR($D49="",X49="← Enter #"),"",IF($G49="",VLOOKUP(W49,MatlsData,2,0),VLOOKUP($G49,'Templ-Cons'!$C$6:$T$107,14,0)))</f>
        <v/>
      </c>
      <c r="Z49" s="67"/>
      <c r="AA49" s="56"/>
      <c r="AB49" s="57" t="str">
        <f>IF($D49="","",IF(AND($F49="",AA49=""),"← Enter #",IF(NOT($F49=""),IF(VLOOKUP($F49,'Templ-Cons'!$B$6:$T$107,16,0)="","",VLOOKUP($F49,'Templ-Cons'!$B$6:$T$107,16,0)),"")))</f>
        <v/>
      </c>
      <c r="AC49" s="57" t="str">
        <f>IF(OR($D49="",AB49="← Enter #"),"",IF($G49="",VLOOKUP(AA49,MatlsData,2,0),VLOOKUP($G49,'Templ-Cons'!$C$6:$T$107,16,0)))</f>
        <v/>
      </c>
      <c r="AD49" s="66"/>
      <c r="AE49" s="64"/>
      <c r="AG49" s="65" t="e">
        <f t="shared" si="4"/>
        <v>#N/A</v>
      </c>
    </row>
    <row r="50" spans="1:33">
      <c r="A50" s="9"/>
      <c r="B50" s="53" t="e">
        <f>IF(C50=" ","",VLOOKUP(C50,AO$7:AP$16,2,0)&amp;TEXT((COUNTIF(C$7:C49,"="&amp;C50)+1),0))</f>
        <v>#N/A</v>
      </c>
      <c r="C50" s="54" t="s">
        <v>93</v>
      </c>
      <c r="D50" s="54"/>
      <c r="E50" s="55"/>
      <c r="F50" s="56"/>
      <c r="G50" s="57" t="str">
        <f>IF($F50="","",VLOOKUP($F50,'Templ-Cons'!B$6:C$55,2,0))</f>
        <v/>
      </c>
      <c r="H50" s="66"/>
      <c r="I50" s="68" t="str">
        <f t="shared" si="3"/>
        <v/>
      </c>
      <c r="J50" s="67" t="str">
        <f>IF(D50="","",IF(G50="",VLOOKUP(K50,MatlsData,6,0)+VLOOKUP(O50,MatlsData,6,0)+VLOOKUP(S50,MatlsData,6,0)+VLOOKUP(W50,MatlsData,6,0)+VLOOKUP(AA50,MatlsData,6,0),VLOOKUP(G50,'Templ-Cons'!C49:E118,3,0)))</f>
        <v/>
      </c>
      <c r="K50" s="56"/>
      <c r="L50" s="57" t="str">
        <f>IF($D50="","",IF(AND($F50="",K50=""),"← Enter #",IF(NOT($F50=""),IF(VLOOKUP($F50,'Templ-Cons'!$B$6:$T$107,8,0)="","",VLOOKUP($F50,'Templ-Cons'!$B$6:$T$107,8,0)),"")))</f>
        <v/>
      </c>
      <c r="M50" s="57" t="str">
        <f>IF(OR($D50="",L50="← Enter #"),"",IF($G50="",VLOOKUP(K50,MatlsData,2,0),VLOOKUP($G50,'Templ-Cons'!$C$6:$T$107,8,0)))</f>
        <v/>
      </c>
      <c r="N50" s="66"/>
      <c r="O50" s="61"/>
      <c r="P50" s="62" t="str">
        <f>IF($D50="","",IF(AND($F50="",O50=""),"← Enter #",IF(NOT($F50=""),IF(VLOOKUP($F50,'Templ-Cons'!$B$6:$T$107,10,0)="","",VLOOKUP($F50,'Templ-Cons'!$B$6:$T$107,10,0)),"")))</f>
        <v/>
      </c>
      <c r="Q50" s="62" t="str">
        <f>IF(OR($D50="",P50="← Enter #"),"",IF($G50="",VLOOKUP(O50,MatlsData,2,0),VLOOKUP($G50,'Templ-Cons'!$C$6:$T$107,10,0)))</f>
        <v/>
      </c>
      <c r="R50" s="67"/>
      <c r="S50" s="56"/>
      <c r="T50" s="57" t="str">
        <f>IF($D50="","",IF(AND($F50="",S50=""),"← Enter #",IF(NOT($F50=""),IF(VLOOKUP($F50,'Templ-Cons'!$B$6:$T$107,12,0)="","",VLOOKUP($F50,'Templ-Cons'!$B$6:$T$107,12,0)),"")))</f>
        <v/>
      </c>
      <c r="U50" s="57" t="str">
        <f>IF(OR($D50="",T50="← Enter #"),"",IF($G50="",VLOOKUP(S50,MatlsData,2,0),VLOOKUP($G50,'Templ-Cons'!$C$6:$T$107,12,0)))</f>
        <v/>
      </c>
      <c r="V50" s="66"/>
      <c r="W50" s="61"/>
      <c r="X50" s="62" t="str">
        <f>IF($D50="","",IF(AND($F50="",W50=""),"← Enter #",IF(NOT($F50=""),IF(VLOOKUP($F50,'Templ-Cons'!$B$6:$T$107,14,0)="","",VLOOKUP($F50,'Templ-Cons'!$B$6:$T$107,14,0)),"")))</f>
        <v/>
      </c>
      <c r="Y50" s="62" t="str">
        <f>IF(OR($D50="",X50="← Enter #"),"",IF($G50="",VLOOKUP(W50,MatlsData,2,0),VLOOKUP($G50,'Templ-Cons'!$C$6:$T$107,14,0)))</f>
        <v/>
      </c>
      <c r="Z50" s="67"/>
      <c r="AA50" s="56"/>
      <c r="AB50" s="57" t="str">
        <f>IF($D50="","",IF(AND($F50="",AA50=""),"← Enter #",IF(NOT($F50=""),IF(VLOOKUP($F50,'Templ-Cons'!$B$6:$T$107,16,0)="","",VLOOKUP($F50,'Templ-Cons'!$B$6:$T$107,16,0)),"")))</f>
        <v/>
      </c>
      <c r="AC50" s="57" t="str">
        <f>IF(OR($D50="",AB50="← Enter #"),"",IF($G50="",VLOOKUP(AA50,MatlsData,2,0),VLOOKUP($G50,'Templ-Cons'!$C$6:$T$107,16,0)))</f>
        <v/>
      </c>
      <c r="AD50" s="66"/>
      <c r="AE50" s="64"/>
      <c r="AG50" s="65" t="e">
        <f t="shared" si="4"/>
        <v>#N/A</v>
      </c>
    </row>
    <row r="51" spans="1:33">
      <c r="A51" s="9"/>
      <c r="B51" s="53" t="e">
        <f>IF(C51=" ","",VLOOKUP(C51,AO$7:AP$16,2,0)&amp;TEXT((COUNTIF(C$7:C50,"="&amp;C51)+1),0))</f>
        <v>#N/A</v>
      </c>
      <c r="C51" s="54" t="s">
        <v>93</v>
      </c>
      <c r="D51" s="54"/>
      <c r="E51" s="55"/>
      <c r="F51" s="56"/>
      <c r="G51" s="57" t="str">
        <f>IF($F51="","",VLOOKUP($F51,'Templ-Cons'!B$6:C$55,2,0))</f>
        <v/>
      </c>
      <c r="H51" s="66"/>
      <c r="I51" s="68" t="str">
        <f t="shared" si="3"/>
        <v/>
      </c>
      <c r="J51" s="67" t="str">
        <f>IF(D51="","",IF(G51="",VLOOKUP(K51,MatlsData,6,0)+VLOOKUP(O51,MatlsData,6,0)+VLOOKUP(S51,MatlsData,6,0)+VLOOKUP(W51,MatlsData,6,0)+VLOOKUP(AA51,MatlsData,6,0),VLOOKUP(G51,'Templ-Cons'!C50:E119,3,0)))</f>
        <v/>
      </c>
      <c r="K51" s="56"/>
      <c r="L51" s="57" t="str">
        <f>IF($D51="","",IF(AND($F51="",K51=""),"← Enter #",IF(NOT($F51=""),IF(VLOOKUP($F51,'Templ-Cons'!$B$6:$T$107,8,0)="","",VLOOKUP($F51,'Templ-Cons'!$B$6:$T$107,8,0)),"")))</f>
        <v/>
      </c>
      <c r="M51" s="57" t="str">
        <f>IF(OR($D51="",L51="← Enter #"),"",IF($G51="",VLOOKUP(K51,MatlsData,2,0),VLOOKUP($G51,'Templ-Cons'!$C$6:$T$107,8,0)))</f>
        <v/>
      </c>
      <c r="N51" s="66"/>
      <c r="O51" s="61"/>
      <c r="P51" s="62" t="str">
        <f>IF($D51="","",IF(AND($F51="",O51=""),"← Enter #",IF(NOT($F51=""),IF(VLOOKUP($F51,'Templ-Cons'!$B$6:$T$107,10,0)="","",VLOOKUP($F51,'Templ-Cons'!$B$6:$T$107,10,0)),"")))</f>
        <v/>
      </c>
      <c r="Q51" s="62" t="str">
        <f>IF(OR($D51="",P51="← Enter #"),"",IF($G51="",VLOOKUP(O51,MatlsData,2,0),VLOOKUP($G51,'Templ-Cons'!$C$6:$T$107,10,0)))</f>
        <v/>
      </c>
      <c r="R51" s="67"/>
      <c r="S51" s="56"/>
      <c r="T51" s="57" t="str">
        <f>IF($D51="","",IF(AND($F51="",S51=""),"← Enter #",IF(NOT($F51=""),IF(VLOOKUP($F51,'Templ-Cons'!$B$6:$T$107,12,0)="","",VLOOKUP($F51,'Templ-Cons'!$B$6:$T$107,12,0)),"")))</f>
        <v/>
      </c>
      <c r="U51" s="57" t="str">
        <f>IF(OR($D51="",T51="← Enter #"),"",IF($G51="",VLOOKUP(S51,MatlsData,2,0),VLOOKUP($G51,'Templ-Cons'!$C$6:$T$107,12,0)))</f>
        <v/>
      </c>
      <c r="V51" s="66"/>
      <c r="W51" s="61"/>
      <c r="X51" s="62" t="str">
        <f>IF($D51="","",IF(AND($F51="",W51=""),"← Enter #",IF(NOT($F51=""),IF(VLOOKUP($F51,'Templ-Cons'!$B$6:$T$107,14,0)="","",VLOOKUP($F51,'Templ-Cons'!$B$6:$T$107,14,0)),"")))</f>
        <v/>
      </c>
      <c r="Y51" s="62" t="str">
        <f>IF(OR($D51="",X51="← Enter #"),"",IF($G51="",VLOOKUP(W51,MatlsData,2,0),VLOOKUP($G51,'Templ-Cons'!$C$6:$T$107,14,0)))</f>
        <v/>
      </c>
      <c r="Z51" s="67"/>
      <c r="AA51" s="56"/>
      <c r="AB51" s="57" t="str">
        <f>IF($D51="","",IF(AND($F51="",AA51=""),"← Enter #",IF(NOT($F51=""),IF(VLOOKUP($F51,'Templ-Cons'!$B$6:$T$107,16,0)="","",VLOOKUP($F51,'Templ-Cons'!$B$6:$T$107,16,0)),"")))</f>
        <v/>
      </c>
      <c r="AC51" s="57" t="str">
        <f>IF(OR($D51="",AB51="← Enter #"),"",IF($G51="",VLOOKUP(AA51,MatlsData,2,0),VLOOKUP($G51,'Templ-Cons'!$C$6:$T$107,16,0)))</f>
        <v/>
      </c>
      <c r="AD51" s="66"/>
      <c r="AE51" s="64"/>
      <c r="AG51" s="65" t="e">
        <f t="shared" si="4"/>
        <v>#N/A</v>
      </c>
    </row>
    <row r="52" spans="1:33">
      <c r="A52" s="9"/>
      <c r="B52" s="53" t="e">
        <f>IF(C52=" ","",VLOOKUP(C52,AO$7:AP$16,2,0)&amp;TEXT((COUNTIF(C$7:C51,"="&amp;C52)+1),0))</f>
        <v>#N/A</v>
      </c>
      <c r="C52" s="54" t="s">
        <v>93</v>
      </c>
      <c r="D52" s="54"/>
      <c r="E52" s="55"/>
      <c r="F52" s="56"/>
      <c r="G52" s="57" t="str">
        <f>IF($F52="","",VLOOKUP($F52,'Templ-Cons'!B$6:C$55,2,0))</f>
        <v/>
      </c>
      <c r="H52" s="66"/>
      <c r="I52" s="68" t="str">
        <f t="shared" si="3"/>
        <v/>
      </c>
      <c r="J52" s="67" t="str">
        <f>IF(D52="","",IF(G52="",VLOOKUP(K52,MatlsData,6,0)+VLOOKUP(O52,MatlsData,6,0)+VLOOKUP(S52,MatlsData,6,0)+VLOOKUP(W52,MatlsData,6,0)+VLOOKUP(AA52,MatlsData,6,0),VLOOKUP(G52,'Templ-Cons'!C51:E120,3,0)))</f>
        <v/>
      </c>
      <c r="K52" s="56"/>
      <c r="L52" s="57" t="str">
        <f>IF($D52="","",IF(AND($F52="",K52=""),"← Enter #",IF(NOT($F52=""),IF(VLOOKUP($F52,'Templ-Cons'!$B$6:$T$107,8,0)="","",VLOOKUP($F52,'Templ-Cons'!$B$6:$T$107,8,0)),"")))</f>
        <v/>
      </c>
      <c r="M52" s="57" t="str">
        <f>IF(OR($D52="",L52="← Enter #"),"",IF($G52="",VLOOKUP(K52,MatlsData,2,0),VLOOKUP($G52,'Templ-Cons'!$C$6:$T$107,8,0)))</f>
        <v/>
      </c>
      <c r="N52" s="66"/>
      <c r="O52" s="61"/>
      <c r="P52" s="62" t="str">
        <f>IF($D52="","",IF(AND($F52="",O52=""),"← Enter #",IF(NOT($F52=""),IF(VLOOKUP($F52,'Templ-Cons'!$B$6:$T$107,10,0)="","",VLOOKUP($F52,'Templ-Cons'!$B$6:$T$107,10,0)),"")))</f>
        <v/>
      </c>
      <c r="Q52" s="62" t="str">
        <f>IF(OR($D52="",P52="← Enter #"),"",IF($G52="",VLOOKUP(O52,MatlsData,2,0),VLOOKUP($G52,'Templ-Cons'!$C$6:$T$107,10,0)))</f>
        <v/>
      </c>
      <c r="R52" s="67"/>
      <c r="S52" s="56"/>
      <c r="T52" s="57" t="str">
        <f>IF($D52="","",IF(AND($F52="",S52=""),"← Enter #",IF(NOT($F52=""),IF(VLOOKUP($F52,'Templ-Cons'!$B$6:$T$107,12,0)="","",VLOOKUP($F52,'Templ-Cons'!$B$6:$T$107,12,0)),"")))</f>
        <v/>
      </c>
      <c r="U52" s="57" t="str">
        <f>IF(OR($D52="",T52="← Enter #"),"",IF($G52="",VLOOKUP(S52,MatlsData,2,0),VLOOKUP($G52,'Templ-Cons'!$C$6:$T$107,12,0)))</f>
        <v/>
      </c>
      <c r="V52" s="66"/>
      <c r="W52" s="61"/>
      <c r="X52" s="62" t="str">
        <f>IF($D52="","",IF(AND($F52="",W52=""),"← Enter #",IF(NOT($F52=""),IF(VLOOKUP($F52,'Templ-Cons'!$B$6:$T$107,14,0)="","",VLOOKUP($F52,'Templ-Cons'!$B$6:$T$107,14,0)),"")))</f>
        <v/>
      </c>
      <c r="Y52" s="62" t="str">
        <f>IF(OR($D52="",X52="← Enter #"),"",IF($G52="",VLOOKUP(W52,MatlsData,2,0),VLOOKUP($G52,'Templ-Cons'!$C$6:$T$107,14,0)))</f>
        <v/>
      </c>
      <c r="Z52" s="67"/>
      <c r="AA52" s="56"/>
      <c r="AB52" s="57" t="str">
        <f>IF($D52="","",IF(AND($F52="",AA52=""),"← Enter #",IF(NOT($F52=""),IF(VLOOKUP($F52,'Templ-Cons'!$B$6:$T$107,16,0)="","",VLOOKUP($F52,'Templ-Cons'!$B$6:$T$107,16,0)),"")))</f>
        <v/>
      </c>
      <c r="AC52" s="57" t="str">
        <f>IF(OR($D52="",AB52="← Enter #"),"",IF($G52="",VLOOKUP(AA52,MatlsData,2,0),VLOOKUP($G52,'Templ-Cons'!$C$6:$T$107,16,0)))</f>
        <v/>
      </c>
      <c r="AD52" s="66"/>
      <c r="AE52" s="64"/>
      <c r="AG52" s="65" t="e">
        <f t="shared" si="4"/>
        <v>#N/A</v>
      </c>
    </row>
    <row r="53" spans="1:33">
      <c r="A53" s="9"/>
      <c r="B53" s="53" t="e">
        <f>IF(C53=" ","",VLOOKUP(C53,AO$7:AP$16,2,0)&amp;TEXT((COUNTIF(C$7:C52,"="&amp;C53)+1),0))</f>
        <v>#N/A</v>
      </c>
      <c r="C53" s="54" t="s">
        <v>93</v>
      </c>
      <c r="D53" s="54"/>
      <c r="E53" s="55"/>
      <c r="F53" s="56"/>
      <c r="G53" s="57" t="str">
        <f>IF($F53="","",VLOOKUP($F53,'Templ-Cons'!B$6:C$55,2,0))</f>
        <v/>
      </c>
      <c r="H53" s="66"/>
      <c r="I53" s="68" t="str">
        <f t="shared" si="3"/>
        <v/>
      </c>
      <c r="J53" s="67" t="str">
        <f>IF(D53="","",IF(G53="",VLOOKUP(K53,MatlsData,6,0)+VLOOKUP(O53,MatlsData,6,0)+VLOOKUP(S53,MatlsData,6,0)+VLOOKUP(W53,MatlsData,6,0)+VLOOKUP(AA53,MatlsData,6,0),VLOOKUP(G53,'Templ-Cons'!C52:E121,3,0)))</f>
        <v/>
      </c>
      <c r="K53" s="56"/>
      <c r="L53" s="57" t="str">
        <f>IF($D53="","",IF(AND($F53="",K53=""),"← Enter #",IF(NOT($F53=""),IF(VLOOKUP($F53,'Templ-Cons'!$B$6:$T$107,8,0)="","",VLOOKUP($F53,'Templ-Cons'!$B$6:$T$107,8,0)),"")))</f>
        <v/>
      </c>
      <c r="M53" s="57" t="str">
        <f>IF(OR($D53="",L53="← Enter #"),"",IF($G53="",VLOOKUP(K53,MatlsData,2,0),VLOOKUP($G53,'Templ-Cons'!$C$6:$T$107,8,0)))</f>
        <v/>
      </c>
      <c r="N53" s="66"/>
      <c r="O53" s="61"/>
      <c r="P53" s="62" t="str">
        <f>IF($D53="","",IF(AND($F53="",O53=""),"← Enter #",IF(NOT($F53=""),IF(VLOOKUP($F53,'Templ-Cons'!$B$6:$T$107,10,0)="","",VLOOKUP($F53,'Templ-Cons'!$B$6:$T$107,10,0)),"")))</f>
        <v/>
      </c>
      <c r="Q53" s="62" t="str">
        <f>IF(OR($D53="",P53="← Enter #"),"",IF($G53="",VLOOKUP(O53,MatlsData,2,0),VLOOKUP($G53,'Templ-Cons'!$C$6:$T$107,10,0)))</f>
        <v/>
      </c>
      <c r="R53" s="67"/>
      <c r="S53" s="56"/>
      <c r="T53" s="57" t="str">
        <f>IF($D53="","",IF(AND($F53="",S53=""),"← Enter #",IF(NOT($F53=""),IF(VLOOKUP($F53,'Templ-Cons'!$B$6:$T$107,12,0)="","",VLOOKUP($F53,'Templ-Cons'!$B$6:$T$107,12,0)),"")))</f>
        <v/>
      </c>
      <c r="U53" s="57" t="str">
        <f>IF(OR($D53="",T53="← Enter #"),"",IF($G53="",VLOOKUP(S53,MatlsData,2,0),VLOOKUP($G53,'Templ-Cons'!$C$6:$T$107,12,0)))</f>
        <v/>
      </c>
      <c r="V53" s="66"/>
      <c r="W53" s="61"/>
      <c r="X53" s="62" t="str">
        <f>IF($D53="","",IF(AND($F53="",W53=""),"← Enter #",IF(NOT($F53=""),IF(VLOOKUP($F53,'Templ-Cons'!$B$6:$T$107,14,0)="","",VLOOKUP($F53,'Templ-Cons'!$B$6:$T$107,14,0)),"")))</f>
        <v/>
      </c>
      <c r="Y53" s="62" t="str">
        <f>IF(OR($D53="",X53="← Enter #"),"",IF($G53="",VLOOKUP(W53,MatlsData,2,0),VLOOKUP($G53,'Templ-Cons'!$C$6:$T$107,14,0)))</f>
        <v/>
      </c>
      <c r="Z53" s="67"/>
      <c r="AA53" s="56"/>
      <c r="AB53" s="57" t="str">
        <f>IF($D53="","",IF(AND($F53="",AA53=""),"← Enter #",IF(NOT($F53=""),IF(VLOOKUP($F53,'Templ-Cons'!$B$6:$T$107,16,0)="","",VLOOKUP($F53,'Templ-Cons'!$B$6:$T$107,16,0)),"")))</f>
        <v/>
      </c>
      <c r="AC53" s="57" t="str">
        <f>IF(OR($D53="",AB53="← Enter #"),"",IF($G53="",VLOOKUP(AA53,MatlsData,2,0),VLOOKUP($G53,'Templ-Cons'!$C$6:$T$107,16,0)))</f>
        <v/>
      </c>
      <c r="AD53" s="66"/>
      <c r="AE53" s="64"/>
      <c r="AG53" s="65" t="e">
        <f t="shared" si="4"/>
        <v>#N/A</v>
      </c>
    </row>
    <row r="54" spans="1:33">
      <c r="A54" s="9"/>
      <c r="B54" s="53" t="e">
        <f>IF(C54=" ","",VLOOKUP(C54,AO$7:AP$16,2,0)&amp;TEXT((COUNTIF(C$7:C53,"="&amp;C54)+1),0))</f>
        <v>#N/A</v>
      </c>
      <c r="C54" s="54" t="s">
        <v>93</v>
      </c>
      <c r="D54" s="54"/>
      <c r="E54" s="55"/>
      <c r="F54" s="56"/>
      <c r="G54" s="57" t="str">
        <f>IF($F54="","",VLOOKUP($F54,'Templ-Cons'!B$6:C$55,2,0))</f>
        <v/>
      </c>
      <c r="H54" s="66"/>
      <c r="I54" s="68" t="str">
        <f t="shared" si="3"/>
        <v/>
      </c>
      <c r="J54" s="67" t="str">
        <f>IF(D54="","",IF(G54="",VLOOKUP(K54,MatlsData,6,0)+VLOOKUP(O54,MatlsData,6,0)+VLOOKUP(S54,MatlsData,6,0)+VLOOKUP(W54,MatlsData,6,0)+VLOOKUP(AA54,MatlsData,6,0),VLOOKUP(G54,'Templ-Cons'!C53:E122,3,0)))</f>
        <v/>
      </c>
      <c r="K54" s="56"/>
      <c r="L54" s="57" t="str">
        <f>IF($D54="","",IF(AND($F54="",K54=""),"← Enter #",IF(NOT($F54=""),IF(VLOOKUP($F54,'Templ-Cons'!$B$6:$T$107,8,0)="","",VLOOKUP($F54,'Templ-Cons'!$B$6:$T$107,8,0)),"")))</f>
        <v/>
      </c>
      <c r="M54" s="57" t="str">
        <f>IF(OR($D54="",L54="← Enter #"),"",IF($G54="",VLOOKUP(K54,MatlsData,2,0),VLOOKUP($G54,'Templ-Cons'!$C$6:$T$107,8,0)))</f>
        <v/>
      </c>
      <c r="N54" s="66"/>
      <c r="O54" s="61"/>
      <c r="P54" s="62" t="str">
        <f>IF($D54="","",IF(AND($F54="",O54=""),"← Enter #",IF(NOT($F54=""),IF(VLOOKUP($F54,'Templ-Cons'!$B$6:$T$107,10,0)="","",VLOOKUP($F54,'Templ-Cons'!$B$6:$T$107,10,0)),"")))</f>
        <v/>
      </c>
      <c r="Q54" s="62" t="str">
        <f>IF(OR($D54="",P54="← Enter #"),"",IF($G54="",VLOOKUP(O54,MatlsData,2,0),VLOOKUP($G54,'Templ-Cons'!$C$6:$T$107,10,0)))</f>
        <v/>
      </c>
      <c r="R54" s="67"/>
      <c r="S54" s="56"/>
      <c r="T54" s="57" t="str">
        <f>IF($D54="","",IF(AND($F54="",S54=""),"← Enter #",IF(NOT($F54=""),IF(VLOOKUP($F54,'Templ-Cons'!$B$6:$T$107,12,0)="","",VLOOKUP($F54,'Templ-Cons'!$B$6:$T$107,12,0)),"")))</f>
        <v/>
      </c>
      <c r="U54" s="57" t="str">
        <f>IF(OR($D54="",T54="← Enter #"),"",IF($G54="",VLOOKUP(S54,MatlsData,2,0),VLOOKUP($G54,'Templ-Cons'!$C$6:$T$107,12,0)))</f>
        <v/>
      </c>
      <c r="V54" s="66"/>
      <c r="W54" s="61"/>
      <c r="X54" s="62" t="str">
        <f>IF($D54="","",IF(AND($F54="",W54=""),"← Enter #",IF(NOT($F54=""),IF(VLOOKUP($F54,'Templ-Cons'!$B$6:$T$107,14,0)="","",VLOOKUP($F54,'Templ-Cons'!$B$6:$T$107,14,0)),"")))</f>
        <v/>
      </c>
      <c r="Y54" s="62" t="str">
        <f>IF(OR($D54="",X54="← Enter #"),"",IF($G54="",VLOOKUP(W54,MatlsData,2,0),VLOOKUP($G54,'Templ-Cons'!$C$6:$T$107,14,0)))</f>
        <v/>
      </c>
      <c r="Z54" s="67"/>
      <c r="AA54" s="56"/>
      <c r="AB54" s="57" t="str">
        <f>IF($D54="","",IF(AND($F54="",AA54=""),"← Enter #",IF(NOT($F54=""),IF(VLOOKUP($F54,'Templ-Cons'!$B$6:$T$107,16,0)="","",VLOOKUP($F54,'Templ-Cons'!$B$6:$T$107,16,0)),"")))</f>
        <v/>
      </c>
      <c r="AC54" s="57" t="str">
        <f>IF(OR($D54="",AB54="← Enter #"),"",IF($G54="",VLOOKUP(AA54,MatlsData,2,0),VLOOKUP($G54,'Templ-Cons'!$C$6:$T$107,16,0)))</f>
        <v/>
      </c>
      <c r="AD54" s="66"/>
      <c r="AE54" s="64"/>
      <c r="AG54" s="65" t="e">
        <f t="shared" si="4"/>
        <v>#N/A</v>
      </c>
    </row>
    <row r="55" spans="1:33">
      <c r="A55" s="9"/>
      <c r="B55" s="53" t="e">
        <f>IF(C55=" ","",VLOOKUP(C55,AO$7:AP$16,2,0)&amp;TEXT((COUNTIF(C$7:C54,"="&amp;C55)+1),0))</f>
        <v>#N/A</v>
      </c>
      <c r="C55" s="54" t="s">
        <v>93</v>
      </c>
      <c r="D55" s="54"/>
      <c r="E55" s="55"/>
      <c r="F55" s="56"/>
      <c r="G55" s="57" t="str">
        <f>IF($F55="","",VLOOKUP($F55,'Templ-Cons'!B$6:C$55,2,0))</f>
        <v/>
      </c>
      <c r="H55" s="66"/>
      <c r="I55" s="68" t="str">
        <f t="shared" si="3"/>
        <v/>
      </c>
      <c r="J55" s="67" t="str">
        <f>IF(D55="","",IF(G55="",VLOOKUP(K55,MatlsData,6,0)+VLOOKUP(O55,MatlsData,6,0)+VLOOKUP(S55,MatlsData,6,0)+VLOOKUP(W55,MatlsData,6,0)+VLOOKUP(AA55,MatlsData,6,0),VLOOKUP(G55,'Templ-Cons'!C54:E123,3,0)))</f>
        <v/>
      </c>
      <c r="K55" s="56"/>
      <c r="L55" s="57" t="str">
        <f>IF($D55="","",IF(AND($F55="",K55=""),"← Enter #",IF(NOT($F55=""),IF(VLOOKUP($F55,'Templ-Cons'!$B$6:$T$107,8,0)="","",VLOOKUP($F55,'Templ-Cons'!$B$6:$T$107,8,0)),"")))</f>
        <v/>
      </c>
      <c r="M55" s="57" t="str">
        <f>IF(OR($D55="",L55="← Enter #"),"",IF($G55="",VLOOKUP(K55,MatlsData,2,0),VLOOKUP($G55,'Templ-Cons'!$C$6:$T$107,8,0)))</f>
        <v/>
      </c>
      <c r="N55" s="66"/>
      <c r="O55" s="61"/>
      <c r="P55" s="62" t="str">
        <f>IF($D55="","",IF(AND($F55="",O55=""),"← Enter #",IF(NOT($F55=""),IF(VLOOKUP($F55,'Templ-Cons'!$B$6:$T$107,10,0)="","",VLOOKUP($F55,'Templ-Cons'!$B$6:$T$107,10,0)),"")))</f>
        <v/>
      </c>
      <c r="Q55" s="62" t="str">
        <f>IF(OR($D55="",P55="← Enter #"),"",IF($G55="",VLOOKUP(O55,MatlsData,2,0),VLOOKUP($G55,'Templ-Cons'!$C$6:$T$107,10,0)))</f>
        <v/>
      </c>
      <c r="R55" s="67"/>
      <c r="S55" s="56"/>
      <c r="T55" s="57" t="str">
        <f>IF($D55="","",IF(AND($F55="",S55=""),"← Enter #",IF(NOT($F55=""),IF(VLOOKUP($F55,'Templ-Cons'!$B$6:$T$107,12,0)="","",VLOOKUP($F55,'Templ-Cons'!$B$6:$T$107,12,0)),"")))</f>
        <v/>
      </c>
      <c r="U55" s="57" t="str">
        <f>IF(OR($D55="",T55="← Enter #"),"",IF($G55="",VLOOKUP(S55,MatlsData,2,0),VLOOKUP($G55,'Templ-Cons'!$C$6:$T$107,12,0)))</f>
        <v/>
      </c>
      <c r="V55" s="66"/>
      <c r="W55" s="61"/>
      <c r="X55" s="62" t="str">
        <f>IF($D55="","",IF(AND($F55="",W55=""),"← Enter #",IF(NOT($F55=""),IF(VLOOKUP($F55,'Templ-Cons'!$B$6:$T$107,14,0)="","",VLOOKUP($F55,'Templ-Cons'!$B$6:$T$107,14,0)),"")))</f>
        <v/>
      </c>
      <c r="Y55" s="62" t="str">
        <f>IF(OR($D55="",X55="← Enter #"),"",IF($G55="",VLOOKUP(W55,MatlsData,2,0),VLOOKUP($G55,'Templ-Cons'!$C$6:$T$107,14,0)))</f>
        <v/>
      </c>
      <c r="Z55" s="67"/>
      <c r="AA55" s="56"/>
      <c r="AB55" s="57" t="str">
        <f>IF($D55="","",IF(AND($F55="",AA55=""),"← Enter #",IF(NOT($F55=""),IF(VLOOKUP($F55,'Templ-Cons'!$B$6:$T$107,16,0)="","",VLOOKUP($F55,'Templ-Cons'!$B$6:$T$107,16,0)),"")))</f>
        <v/>
      </c>
      <c r="AC55" s="57" t="str">
        <f>IF(OR($D55="",AB55="← Enter #"),"",IF($G55="",VLOOKUP(AA55,MatlsData,2,0),VLOOKUP($G55,'Templ-Cons'!$C$6:$T$107,16,0)))</f>
        <v/>
      </c>
      <c r="AD55" s="66"/>
      <c r="AE55" s="64"/>
      <c r="AG55" s="65" t="e">
        <f t="shared" si="4"/>
        <v>#N/A</v>
      </c>
    </row>
    <row r="56" spans="1:33">
      <c r="A56" s="9"/>
      <c r="B56" s="53" t="e">
        <f>IF(C56=" ","",VLOOKUP(C56,AO$7:AP$16,2,0)&amp;TEXT((COUNTIF(C$7:C55,"="&amp;C56)+1),0))</f>
        <v>#N/A</v>
      </c>
      <c r="C56" s="54" t="s">
        <v>93</v>
      </c>
      <c r="D56" s="54"/>
      <c r="E56" s="55"/>
      <c r="F56" s="69"/>
      <c r="G56" s="70" t="str">
        <f>IF($F56="","",VLOOKUP($F56,'Templ-Cons'!B$6:C$55,2,0))</f>
        <v/>
      </c>
      <c r="H56" s="71"/>
      <c r="I56" s="68" t="str">
        <f t="shared" si="3"/>
        <v/>
      </c>
      <c r="J56" s="67" t="str">
        <f>IF(D56="","",IF(G56="",VLOOKUP(K56,MatlsData,6,0)+VLOOKUP(O56,MatlsData,6,0)+VLOOKUP(S56,MatlsData,6,0)+VLOOKUP(W56,MatlsData,6,0)+VLOOKUP(AA56,MatlsData,6,0),VLOOKUP(G56,'Templ-Cons'!C55:E124,3,0)))</f>
        <v/>
      </c>
      <c r="K56" s="69"/>
      <c r="L56" s="70" t="str">
        <f>IF($D56="","",IF(AND($F56="",K56=""),"← Enter #",IF(NOT($F56=""),IF(VLOOKUP($F56,'Templ-Cons'!$B$6:$T$107,8,0)="","",VLOOKUP($F56,'Templ-Cons'!$B$6:$T$107,8,0)),"")))</f>
        <v/>
      </c>
      <c r="M56" s="70" t="str">
        <f>IF(OR($D56="",L56="← Enter #"),"",IF($G56="",VLOOKUP(K56,MatlsData,2,0),VLOOKUP($G56,'Templ-Cons'!$C$6:$T$107,8,0)))</f>
        <v/>
      </c>
      <c r="N56" s="71"/>
      <c r="O56" s="61"/>
      <c r="P56" s="62" t="str">
        <f>IF($D56="","",IF(AND($F56="",O56=""),"← Enter #",IF(NOT($F56=""),IF(VLOOKUP($F56,'Templ-Cons'!$B$6:$T$107,10,0)="","",VLOOKUP($F56,'Templ-Cons'!$B$6:$T$107,10,0)),"")))</f>
        <v/>
      </c>
      <c r="Q56" s="62" t="str">
        <f>IF(OR($D56="",P56="← Enter #"),"",IF($G56="",VLOOKUP(O56,MatlsData,2,0),VLOOKUP($G56,'Templ-Cons'!$C$6:$T$107,10,0)))</f>
        <v/>
      </c>
      <c r="R56" s="67"/>
      <c r="S56" s="69"/>
      <c r="T56" s="70" t="str">
        <f>IF($D56="","",IF(AND($F56="",S56=""),"← Enter #",IF(NOT($F56=""),IF(VLOOKUP($F56,'Templ-Cons'!$B$6:$T$107,12,0)="","",VLOOKUP($F56,'Templ-Cons'!$B$6:$T$107,12,0)),"")))</f>
        <v/>
      </c>
      <c r="U56" s="70" t="str">
        <f>IF(OR($D56="",T56="← Enter #"),"",IF($G56="",VLOOKUP(S56,MatlsData,2,0),VLOOKUP($G56,'Templ-Cons'!$C$6:$T$107,12,0)))</f>
        <v/>
      </c>
      <c r="V56" s="71"/>
      <c r="W56" s="61"/>
      <c r="X56" s="62" t="str">
        <f>IF($D56="","",IF(AND($F56="",W56=""),"← Enter #",IF(NOT($F56=""),IF(VLOOKUP($F56,'Templ-Cons'!$B$6:$T$107,14,0)="","",VLOOKUP($F56,'Templ-Cons'!$B$6:$T$107,14,0)),"")))</f>
        <v/>
      </c>
      <c r="Y56" s="62" t="str">
        <f>IF(OR($D56="",X56="← Enter #"),"",IF($G56="",VLOOKUP(W56,MatlsData,2,0),VLOOKUP($G56,'Templ-Cons'!$C$6:$T$107,14,0)))</f>
        <v/>
      </c>
      <c r="Z56" s="67"/>
      <c r="AA56" s="69"/>
      <c r="AB56" s="70" t="str">
        <f>IF($D56="","",IF(AND($F56="",AA56=""),"← Enter #",IF(NOT($F56=""),IF(VLOOKUP($F56,'Templ-Cons'!$B$6:$T$107,16,0)="","",VLOOKUP($F56,'Templ-Cons'!$B$6:$T$107,16,0)),"")))</f>
        <v/>
      </c>
      <c r="AC56" s="70" t="str">
        <f>IF(OR($D56="",AB56="← Enter #"),"",IF($G56="",VLOOKUP(AA56,MatlsData,2,0),VLOOKUP($G56,'Templ-Cons'!$C$6:$T$107,16,0)))</f>
        <v/>
      </c>
      <c r="AD56" s="71"/>
      <c r="AE56" s="72"/>
      <c r="AG56" s="65" t="e">
        <f t="shared" si="4"/>
        <v>#N/A</v>
      </c>
    </row>
    <row r="57" spans="1:33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/>
      <c r="N57" s="74"/>
      <c r="O57" s="73"/>
      <c r="P57" s="73"/>
      <c r="Q57" s="74"/>
      <c r="R57" s="74"/>
      <c r="S57" s="73"/>
      <c r="T57" s="73"/>
      <c r="U57" s="74"/>
      <c r="V57" s="74"/>
      <c r="W57" s="73"/>
      <c r="X57" s="73"/>
      <c r="Y57" s="74"/>
      <c r="Z57" s="74"/>
      <c r="AA57" s="73"/>
      <c r="AB57" s="73"/>
      <c r="AC57" s="74"/>
      <c r="AD57" s="74"/>
      <c r="AE57" s="7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6"/>
  <sheetViews>
    <sheetView zoomScaleNormal="100" zoomScalePageLayoutView="60" workbookViewId="0"/>
  </sheetViews>
  <sheetFormatPr defaultRowHeight="14.25"/>
  <cols>
    <col min="1" max="1" width="1.875" style="1"/>
    <col min="2" max="2" width="5.625" style="1"/>
    <col min="3" max="3" width="30.75" style="1"/>
    <col min="4" max="5" width="5.5" style="1"/>
    <col min="6" max="6" width="7.25" style="1"/>
    <col min="7" max="8" width="0" style="1" hidden="1"/>
    <col min="9" max="9" width="5.875" style="1"/>
    <col min="10" max="10" width="13.5" style="1"/>
    <col min="11" max="11" width="6" style="1"/>
    <col min="12" max="12" width="13.25" style="1"/>
    <col min="13" max="13" width="6" style="1"/>
    <col min="14" max="14" width="13.25" style="1"/>
    <col min="15" max="15" width="5.75" style="1"/>
    <col min="16" max="16" width="13.25" style="1"/>
    <col min="17" max="17" width="5.75" style="1"/>
    <col min="18" max="18" width="13.75" style="1"/>
    <col min="19" max="19" width="5.625" style="1"/>
    <col min="20" max="20" width="13.5" style="1"/>
    <col min="21" max="21" width="5.75" style="1"/>
    <col min="22" max="22" width="13.5" style="1"/>
    <col min="23" max="1025" width="11.75" style="1"/>
  </cols>
  <sheetData>
    <row r="1" spans="1:36" s="316" customFormat="1" ht="12.75">
      <c r="B1" s="316" t="s">
        <v>142</v>
      </c>
      <c r="C1" s="316" t="s">
        <v>143</v>
      </c>
      <c r="F1" s="316" t="s">
        <v>146</v>
      </c>
      <c r="I1" s="316" t="s">
        <v>1175</v>
      </c>
      <c r="J1" s="316" t="s">
        <v>1176</v>
      </c>
      <c r="K1" s="316" t="s">
        <v>1177</v>
      </c>
      <c r="L1" s="316" t="s">
        <v>1178</v>
      </c>
      <c r="M1" s="316" t="s">
        <v>1179</v>
      </c>
      <c r="N1" s="316" t="s">
        <v>1180</v>
      </c>
      <c r="O1" s="316" t="s">
        <v>1181</v>
      </c>
      <c r="P1" s="316" t="s">
        <v>1182</v>
      </c>
      <c r="Q1" s="316" t="s">
        <v>1183</v>
      </c>
      <c r="R1" s="316" t="s">
        <v>1184</v>
      </c>
      <c r="S1" s="316" t="s">
        <v>1185</v>
      </c>
      <c r="T1" s="316" t="s">
        <v>1186</v>
      </c>
      <c r="U1" s="316" t="s">
        <v>1187</v>
      </c>
      <c r="V1" s="316" t="s">
        <v>1188</v>
      </c>
    </row>
    <row r="2" spans="1:36" ht="14.1" customHeight="1">
      <c r="B2" s="446" t="s">
        <v>926</v>
      </c>
      <c r="C2" s="446"/>
      <c r="D2" s="446"/>
      <c r="E2" s="446"/>
      <c r="F2" s="316">
        <v>5</v>
      </c>
      <c r="G2" s="316"/>
      <c r="H2" s="316"/>
      <c r="I2" s="390">
        <v>8</v>
      </c>
      <c r="J2" s="316">
        <v>9</v>
      </c>
      <c r="K2" s="390">
        <v>10</v>
      </c>
      <c r="L2" s="316">
        <v>11</v>
      </c>
      <c r="M2" s="390">
        <v>12</v>
      </c>
      <c r="N2" s="316">
        <v>13</v>
      </c>
      <c r="O2" s="390">
        <v>14</v>
      </c>
      <c r="P2" s="316">
        <v>15</v>
      </c>
      <c r="Q2" s="390">
        <v>16</v>
      </c>
      <c r="R2" s="316">
        <v>17</v>
      </c>
      <c r="S2" s="390">
        <v>18</v>
      </c>
      <c r="T2" s="316">
        <v>19</v>
      </c>
      <c r="U2" s="390">
        <v>20</v>
      </c>
      <c r="V2" s="316">
        <v>21</v>
      </c>
    </row>
    <row r="3" spans="1:36" ht="15" customHeight="1">
      <c r="A3" s="9"/>
      <c r="B3" s="447"/>
      <c r="C3" s="447"/>
      <c r="D3" s="391"/>
      <c r="E3" s="391"/>
      <c r="F3" s="432"/>
      <c r="G3" s="432"/>
      <c r="H3" s="392"/>
      <c r="I3" s="448" t="s">
        <v>161</v>
      </c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125"/>
      <c r="AB3" s="280"/>
      <c r="AC3" s="280"/>
      <c r="AD3" s="280"/>
      <c r="AE3" s="280"/>
      <c r="AF3" s="280"/>
      <c r="AG3" s="280"/>
      <c r="AH3" s="280"/>
      <c r="AI3" s="280"/>
      <c r="AJ3" s="280"/>
    </row>
    <row r="4" spans="1:36" ht="16.5">
      <c r="A4" s="9"/>
      <c r="B4" s="393" t="s">
        <v>25</v>
      </c>
      <c r="C4" s="394" t="s">
        <v>163</v>
      </c>
      <c r="D4" s="394"/>
      <c r="E4" s="394"/>
      <c r="F4" s="395" t="s">
        <v>927</v>
      </c>
      <c r="G4" s="396" t="s">
        <v>165</v>
      </c>
      <c r="H4" s="449"/>
      <c r="I4" s="450" t="s">
        <v>30</v>
      </c>
      <c r="J4" s="450"/>
      <c r="K4" s="450" t="s">
        <v>31</v>
      </c>
      <c r="L4" s="450"/>
      <c r="M4" s="451" t="s">
        <v>32</v>
      </c>
      <c r="N4" s="451"/>
      <c r="O4" s="450" t="s">
        <v>33</v>
      </c>
      <c r="P4" s="450"/>
      <c r="Q4" s="450" t="s">
        <v>34</v>
      </c>
      <c r="R4" s="450"/>
      <c r="S4" s="450" t="s">
        <v>167</v>
      </c>
      <c r="T4" s="450"/>
      <c r="U4" s="452" t="s">
        <v>168</v>
      </c>
      <c r="V4" s="452"/>
      <c r="W4" s="125"/>
    </row>
    <row r="5" spans="1:36" ht="16.5">
      <c r="A5" s="9"/>
      <c r="B5" s="397"/>
      <c r="C5" s="398"/>
      <c r="D5" s="399"/>
      <c r="E5" s="400"/>
      <c r="F5" s="401" t="s">
        <v>170</v>
      </c>
      <c r="G5" s="402" t="s">
        <v>170</v>
      </c>
      <c r="H5" s="449"/>
      <c r="I5" s="335" t="s">
        <v>40</v>
      </c>
      <c r="J5" s="336" t="s">
        <v>41</v>
      </c>
      <c r="K5" s="335" t="str">
        <f>$I5</f>
        <v>ID</v>
      </c>
      <c r="L5" s="336" t="s">
        <v>41</v>
      </c>
      <c r="M5" s="337" t="str">
        <f>$I5</f>
        <v>ID</v>
      </c>
      <c r="N5" s="403" t="s">
        <v>41</v>
      </c>
      <c r="O5" s="335" t="str">
        <f>$I5</f>
        <v>ID</v>
      </c>
      <c r="P5" s="336" t="s">
        <v>41</v>
      </c>
      <c r="Q5" s="335" t="str">
        <f>$I5</f>
        <v>ID</v>
      </c>
      <c r="R5" s="336" t="s">
        <v>41</v>
      </c>
      <c r="S5" s="337" t="str">
        <f>$I5</f>
        <v>ID</v>
      </c>
      <c r="T5" s="336" t="s">
        <v>41</v>
      </c>
      <c r="U5" s="337" t="str">
        <f>$I5</f>
        <v>ID</v>
      </c>
      <c r="V5" s="336" t="s">
        <v>41</v>
      </c>
      <c r="W5" s="125"/>
    </row>
    <row r="6" spans="1:36">
      <c r="A6" s="9"/>
      <c r="B6" s="73"/>
      <c r="C6" s="73"/>
      <c r="D6" s="73"/>
      <c r="E6" s="73"/>
      <c r="F6" s="404"/>
      <c r="G6" s="73"/>
      <c r="H6" s="404"/>
      <c r="J6" s="404"/>
      <c r="L6" s="404"/>
      <c r="N6" s="404"/>
      <c r="P6" s="404"/>
      <c r="R6" s="404"/>
      <c r="T6" s="404"/>
      <c r="W6" s="125"/>
    </row>
    <row r="7" spans="1:36">
      <c r="A7" s="9"/>
      <c r="F7" s="9"/>
      <c r="H7" s="9"/>
      <c r="J7" s="9"/>
      <c r="L7" s="9"/>
      <c r="N7" s="9"/>
      <c r="P7" s="9"/>
      <c r="R7" s="9"/>
      <c r="T7" s="9"/>
      <c r="W7" s="125"/>
    </row>
    <row r="8" spans="1:36">
      <c r="A8" s="9"/>
      <c r="B8" s="405">
        <v>1</v>
      </c>
      <c r="C8" s="405" t="s">
        <v>928</v>
      </c>
      <c r="D8" s="406"/>
      <c r="E8" s="406"/>
      <c r="F8" s="407">
        <v>0.55000000000000004</v>
      </c>
      <c r="G8" s="406"/>
      <c r="H8" s="408"/>
      <c r="J8" s="409" t="s">
        <v>246</v>
      </c>
      <c r="K8" s="380" t="str">
        <f>""</f>
        <v/>
      </c>
      <c r="L8" s="409" t="str">
        <f>""</f>
        <v/>
      </c>
      <c r="M8" s="380" t="str">
        <f>""</f>
        <v/>
      </c>
      <c r="N8" s="409" t="str">
        <f>""</f>
        <v/>
      </c>
      <c r="O8" s="380" t="str">
        <f>""</f>
        <v/>
      </c>
      <c r="P8" s="409" t="str">
        <f>""</f>
        <v/>
      </c>
      <c r="Q8" s="380" t="str">
        <f>""</f>
        <v/>
      </c>
      <c r="R8" s="409" t="str">
        <f>""</f>
        <v/>
      </c>
      <c r="S8" s="380" t="str">
        <f>""</f>
        <v/>
      </c>
      <c r="T8" s="409" t="str">
        <f>""</f>
        <v/>
      </c>
      <c r="U8" s="380"/>
      <c r="V8" s="409" t="str">
        <f>""</f>
        <v/>
      </c>
      <c r="W8" s="125"/>
    </row>
    <row r="9" spans="1:36">
      <c r="A9" s="9"/>
      <c r="B9" s="405">
        <f t="shared" ref="B9:B72" si="0">B8+1</f>
        <v>2</v>
      </c>
      <c r="C9" s="405" t="s">
        <v>929</v>
      </c>
      <c r="D9" s="406"/>
      <c r="E9" s="406"/>
      <c r="F9" s="407">
        <f t="shared" ref="F9:F72" si="1">F8+0.01</f>
        <v>0.56000000000000005</v>
      </c>
      <c r="G9" s="406"/>
      <c r="H9" s="408"/>
      <c r="J9" s="409" t="s">
        <v>248</v>
      </c>
      <c r="K9" s="380" t="str">
        <f>""</f>
        <v/>
      </c>
      <c r="L9" s="409" t="str">
        <f>""</f>
        <v/>
      </c>
      <c r="M9" s="380" t="str">
        <f>""</f>
        <v/>
      </c>
      <c r="N9" s="409" t="str">
        <f>""</f>
        <v/>
      </c>
      <c r="O9" s="380" t="str">
        <f>""</f>
        <v/>
      </c>
      <c r="P9" s="409" t="str">
        <f>""</f>
        <v/>
      </c>
      <c r="Q9" s="380" t="str">
        <f>""</f>
        <v/>
      </c>
      <c r="R9" s="409" t="str">
        <f>""</f>
        <v/>
      </c>
      <c r="S9" s="380" t="str">
        <f>""</f>
        <v/>
      </c>
      <c r="T9" s="409" t="str">
        <f>""</f>
        <v/>
      </c>
      <c r="U9" s="380"/>
      <c r="V9" s="409" t="str">
        <f>""</f>
        <v/>
      </c>
      <c r="W9" s="125"/>
    </row>
    <row r="10" spans="1:36">
      <c r="A10" s="9"/>
      <c r="B10" s="405">
        <f t="shared" si="0"/>
        <v>3</v>
      </c>
      <c r="C10" s="405" t="s">
        <v>930</v>
      </c>
      <c r="D10" s="406"/>
      <c r="E10" s="406"/>
      <c r="F10" s="407">
        <f t="shared" si="1"/>
        <v>0.57000000000000006</v>
      </c>
      <c r="G10" s="406"/>
      <c r="H10" s="408"/>
      <c r="J10" s="409" t="s">
        <v>270</v>
      </c>
      <c r="K10" s="380" t="str">
        <f>""</f>
        <v/>
      </c>
      <c r="L10" s="409" t="str">
        <f>""</f>
        <v/>
      </c>
      <c r="M10" s="380" t="str">
        <f>""</f>
        <v/>
      </c>
      <c r="N10" s="409" t="str">
        <f>""</f>
        <v/>
      </c>
      <c r="O10" s="380" t="str">
        <f>""</f>
        <v/>
      </c>
      <c r="P10" s="409" t="str">
        <f>""</f>
        <v/>
      </c>
      <c r="Q10" s="380" t="str">
        <f>""</f>
        <v/>
      </c>
      <c r="R10" s="409" t="str">
        <f>""</f>
        <v/>
      </c>
      <c r="S10" s="380" t="str">
        <f>""</f>
        <v/>
      </c>
      <c r="T10" s="409" t="str">
        <f>""</f>
        <v/>
      </c>
      <c r="U10" s="380"/>
      <c r="V10" s="409" t="str">
        <f>""</f>
        <v/>
      </c>
      <c r="W10" s="125"/>
    </row>
    <row r="11" spans="1:36">
      <c r="A11" s="9"/>
      <c r="B11" s="405">
        <f t="shared" si="0"/>
        <v>4</v>
      </c>
      <c r="C11" s="405" t="s">
        <v>931</v>
      </c>
      <c r="D11" s="406"/>
      <c r="E11" s="406"/>
      <c r="F11" s="407">
        <f t="shared" si="1"/>
        <v>0.58000000000000007</v>
      </c>
      <c r="G11" s="406"/>
      <c r="H11" s="408"/>
      <c r="J11" s="409" t="s">
        <v>274</v>
      </c>
      <c r="K11" s="380" t="str">
        <f>""</f>
        <v/>
      </c>
      <c r="L11" s="409" t="str">
        <f>""</f>
        <v/>
      </c>
      <c r="M11" s="380" t="str">
        <f>""</f>
        <v/>
      </c>
      <c r="N11" s="409" t="str">
        <f>""</f>
        <v/>
      </c>
      <c r="O11" s="380" t="str">
        <f>""</f>
        <v/>
      </c>
      <c r="P11" s="409" t="str">
        <f>""</f>
        <v/>
      </c>
      <c r="Q11" s="380" t="str">
        <f>""</f>
        <v/>
      </c>
      <c r="R11" s="409" t="str">
        <f>""</f>
        <v/>
      </c>
      <c r="S11" s="380" t="str">
        <f>""</f>
        <v/>
      </c>
      <c r="T11" s="409" t="str">
        <f>""</f>
        <v/>
      </c>
      <c r="U11" s="380"/>
      <c r="V11" s="409" t="str">
        <f>""</f>
        <v/>
      </c>
      <c r="W11" s="125"/>
    </row>
    <row r="12" spans="1:36">
      <c r="A12" s="9"/>
      <c r="B12" s="405">
        <f t="shared" si="0"/>
        <v>5</v>
      </c>
      <c r="C12" s="405" t="s">
        <v>932</v>
      </c>
      <c r="D12" s="406"/>
      <c r="E12" s="406"/>
      <c r="F12" s="407">
        <f t="shared" si="1"/>
        <v>0.59000000000000008</v>
      </c>
      <c r="G12" s="406"/>
      <c r="H12" s="408"/>
      <c r="J12" s="409" t="s">
        <v>252</v>
      </c>
      <c r="K12" s="380" t="str">
        <f>""</f>
        <v/>
      </c>
      <c r="L12" s="409" t="str">
        <f>""</f>
        <v/>
      </c>
      <c r="M12" s="380" t="str">
        <f>""</f>
        <v/>
      </c>
      <c r="N12" s="409" t="str">
        <f>""</f>
        <v/>
      </c>
      <c r="O12" s="380" t="str">
        <f>""</f>
        <v/>
      </c>
      <c r="P12" s="409" t="str">
        <f>""</f>
        <v/>
      </c>
      <c r="Q12" s="380" t="str">
        <f>""</f>
        <v/>
      </c>
      <c r="R12" s="409" t="str">
        <f>""</f>
        <v/>
      </c>
      <c r="S12" s="380" t="str">
        <f>""</f>
        <v/>
      </c>
      <c r="T12" s="409" t="str">
        <f>""</f>
        <v/>
      </c>
      <c r="U12" s="380"/>
      <c r="V12" s="409" t="str">
        <f>""</f>
        <v/>
      </c>
      <c r="W12" s="125"/>
    </row>
    <row r="13" spans="1:36">
      <c r="A13" s="9"/>
      <c r="B13" s="405">
        <f t="shared" si="0"/>
        <v>6</v>
      </c>
      <c r="C13" s="405" t="s">
        <v>933</v>
      </c>
      <c r="D13" s="406"/>
      <c r="E13" s="406"/>
      <c r="F13" s="407">
        <f t="shared" si="1"/>
        <v>0.60000000000000009</v>
      </c>
      <c r="G13" s="406"/>
      <c r="H13" s="408"/>
      <c r="J13" s="409" t="s">
        <v>254</v>
      </c>
      <c r="K13" s="380" t="str">
        <f>""</f>
        <v/>
      </c>
      <c r="L13" s="409" t="str">
        <f>""</f>
        <v/>
      </c>
      <c r="M13" s="380" t="str">
        <f>""</f>
        <v/>
      </c>
      <c r="N13" s="409" t="str">
        <f>""</f>
        <v/>
      </c>
      <c r="O13" s="380" t="str">
        <f>""</f>
        <v/>
      </c>
      <c r="P13" s="409" t="str">
        <f>""</f>
        <v/>
      </c>
      <c r="Q13" s="380" t="str">
        <f>""</f>
        <v/>
      </c>
      <c r="R13" s="409" t="str">
        <f>""</f>
        <v/>
      </c>
      <c r="S13" s="380" t="str">
        <f>""</f>
        <v/>
      </c>
      <c r="T13" s="409" t="str">
        <f>""</f>
        <v/>
      </c>
      <c r="U13" s="380"/>
      <c r="V13" s="409" t="str">
        <f>""</f>
        <v/>
      </c>
      <c r="W13" s="125"/>
    </row>
    <row r="14" spans="1:36">
      <c r="A14" s="9"/>
      <c r="B14" s="405">
        <f t="shared" si="0"/>
        <v>7</v>
      </c>
      <c r="C14" s="405" t="s">
        <v>934</v>
      </c>
      <c r="D14" s="406"/>
      <c r="E14" s="406"/>
      <c r="F14" s="407">
        <f t="shared" si="1"/>
        <v>0.6100000000000001</v>
      </c>
      <c r="G14" s="406"/>
      <c r="H14" s="408"/>
      <c r="J14" s="409" t="s">
        <v>264</v>
      </c>
      <c r="K14" s="380" t="str">
        <f>""</f>
        <v/>
      </c>
      <c r="L14" s="409" t="str">
        <f>""</f>
        <v/>
      </c>
      <c r="M14" s="380" t="str">
        <f>""</f>
        <v/>
      </c>
      <c r="N14" s="409" t="str">
        <f>""</f>
        <v/>
      </c>
      <c r="O14" s="380" t="str">
        <f>""</f>
        <v/>
      </c>
      <c r="P14" s="409" t="str">
        <f>""</f>
        <v/>
      </c>
      <c r="Q14" s="380" t="str">
        <f>""</f>
        <v/>
      </c>
      <c r="R14" s="409" t="str">
        <f>""</f>
        <v/>
      </c>
      <c r="S14" s="380" t="str">
        <f>""</f>
        <v/>
      </c>
      <c r="T14" s="409" t="str">
        <f>""</f>
        <v/>
      </c>
      <c r="U14" s="380"/>
      <c r="V14" s="409" t="str">
        <f>""</f>
        <v/>
      </c>
      <c r="W14" s="125"/>
    </row>
    <row r="15" spans="1:36">
      <c r="A15" s="9"/>
      <c r="B15" s="405">
        <f t="shared" si="0"/>
        <v>8</v>
      </c>
      <c r="C15" s="405" t="s">
        <v>935</v>
      </c>
      <c r="D15" s="406"/>
      <c r="E15" s="406"/>
      <c r="F15" s="407">
        <f t="shared" si="1"/>
        <v>0.62000000000000011</v>
      </c>
      <c r="G15" s="406"/>
      <c r="H15" s="408"/>
      <c r="J15" s="409" t="s">
        <v>266</v>
      </c>
      <c r="K15" s="380" t="str">
        <f>""</f>
        <v/>
      </c>
      <c r="L15" s="409" t="str">
        <f>""</f>
        <v/>
      </c>
      <c r="M15" s="380" t="str">
        <f>""</f>
        <v/>
      </c>
      <c r="N15" s="409" t="str">
        <f>""</f>
        <v/>
      </c>
      <c r="O15" s="380" t="str">
        <f>""</f>
        <v/>
      </c>
      <c r="P15" s="409" t="str">
        <f>""</f>
        <v/>
      </c>
      <c r="Q15" s="380" t="str">
        <f>""</f>
        <v/>
      </c>
      <c r="R15" s="409" t="str">
        <f>""</f>
        <v/>
      </c>
      <c r="S15" s="380" t="str">
        <f>""</f>
        <v/>
      </c>
      <c r="T15" s="409" t="str">
        <f>""</f>
        <v/>
      </c>
      <c r="U15" s="380"/>
      <c r="V15" s="409" t="str">
        <f>""</f>
        <v/>
      </c>
      <c r="W15" s="125"/>
    </row>
    <row r="16" spans="1:36">
      <c r="A16" s="9"/>
      <c r="B16" s="405">
        <f t="shared" si="0"/>
        <v>9</v>
      </c>
      <c r="C16" s="405" t="s">
        <v>936</v>
      </c>
      <c r="D16" s="406"/>
      <c r="E16" s="406"/>
      <c r="F16" s="407">
        <f t="shared" si="1"/>
        <v>0.63000000000000012</v>
      </c>
      <c r="G16" s="406"/>
      <c r="H16" s="408"/>
      <c r="J16" s="409" t="s">
        <v>258</v>
      </c>
      <c r="K16" s="380" t="str">
        <f>""</f>
        <v/>
      </c>
      <c r="L16" s="409" t="str">
        <f>""</f>
        <v/>
      </c>
      <c r="M16" s="380" t="str">
        <f>""</f>
        <v/>
      </c>
      <c r="N16" s="409" t="str">
        <f>""</f>
        <v/>
      </c>
      <c r="O16" s="380" t="str">
        <f>""</f>
        <v/>
      </c>
      <c r="P16" s="409" t="str">
        <f>""</f>
        <v/>
      </c>
      <c r="Q16" s="380" t="str">
        <f>""</f>
        <v/>
      </c>
      <c r="R16" s="409" t="str">
        <f>""</f>
        <v/>
      </c>
      <c r="S16" s="380" t="str">
        <f>""</f>
        <v/>
      </c>
      <c r="T16" s="409" t="str">
        <f>""</f>
        <v/>
      </c>
      <c r="U16" s="380"/>
      <c r="V16" s="409" t="str">
        <f>""</f>
        <v/>
      </c>
      <c r="W16" s="125"/>
    </row>
    <row r="17" spans="1:23">
      <c r="A17" s="9"/>
      <c r="B17" s="405">
        <f t="shared" si="0"/>
        <v>10</v>
      </c>
      <c r="C17" s="405" t="s">
        <v>937</v>
      </c>
      <c r="D17" s="406"/>
      <c r="E17" s="406"/>
      <c r="F17" s="407">
        <f t="shared" si="1"/>
        <v>0.64000000000000012</v>
      </c>
      <c r="G17" s="406"/>
      <c r="H17" s="408"/>
      <c r="J17" s="409" t="s">
        <v>260</v>
      </c>
      <c r="K17" s="380" t="str">
        <f>""</f>
        <v/>
      </c>
      <c r="L17" s="409" t="str">
        <f>""</f>
        <v/>
      </c>
      <c r="M17" s="380" t="str">
        <f>""</f>
        <v/>
      </c>
      <c r="N17" s="409" t="str">
        <f>""</f>
        <v/>
      </c>
      <c r="O17" s="380" t="str">
        <f>""</f>
        <v/>
      </c>
      <c r="P17" s="409" t="str">
        <f>""</f>
        <v/>
      </c>
      <c r="Q17" s="380" t="str">
        <f>""</f>
        <v/>
      </c>
      <c r="R17" s="409" t="str">
        <f>""</f>
        <v/>
      </c>
      <c r="S17" s="380" t="str">
        <f>""</f>
        <v/>
      </c>
      <c r="T17" s="409" t="str">
        <f>""</f>
        <v/>
      </c>
      <c r="U17" s="380"/>
      <c r="V17" s="409" t="str">
        <f>""</f>
        <v/>
      </c>
      <c r="W17" s="125"/>
    </row>
    <row r="18" spans="1:23">
      <c r="A18" s="9"/>
      <c r="B18" s="405">
        <f t="shared" si="0"/>
        <v>11</v>
      </c>
      <c r="C18" s="405" t="s">
        <v>938</v>
      </c>
      <c r="D18" s="406"/>
      <c r="E18" s="406"/>
      <c r="F18" s="407">
        <f t="shared" si="1"/>
        <v>0.65000000000000013</v>
      </c>
      <c r="G18" s="406"/>
      <c r="H18" s="408"/>
      <c r="J18" s="409" t="s">
        <v>276</v>
      </c>
      <c r="K18" s="380" t="str">
        <f>""</f>
        <v/>
      </c>
      <c r="L18" s="409" t="str">
        <f>""</f>
        <v/>
      </c>
      <c r="M18" s="380" t="str">
        <f>""</f>
        <v/>
      </c>
      <c r="N18" s="409" t="str">
        <f>""</f>
        <v/>
      </c>
      <c r="O18" s="380" t="str">
        <f>""</f>
        <v/>
      </c>
      <c r="P18" s="409" t="str">
        <f>""</f>
        <v/>
      </c>
      <c r="Q18" s="380" t="str">
        <f>""</f>
        <v/>
      </c>
      <c r="R18" s="409" t="str">
        <f>""</f>
        <v/>
      </c>
      <c r="S18" s="380" t="str">
        <f>""</f>
        <v/>
      </c>
      <c r="T18" s="409" t="str">
        <f>""</f>
        <v/>
      </c>
      <c r="U18" s="380"/>
      <c r="V18" s="409" t="str">
        <f>""</f>
        <v/>
      </c>
      <c r="W18" s="125"/>
    </row>
    <row r="19" spans="1:23" ht="27">
      <c r="A19" s="9"/>
      <c r="B19" s="405">
        <f t="shared" si="0"/>
        <v>12</v>
      </c>
      <c r="C19" s="405" t="s">
        <v>939</v>
      </c>
      <c r="D19" s="406"/>
      <c r="E19" s="406"/>
      <c r="F19" s="407">
        <f t="shared" si="1"/>
        <v>0.66000000000000014</v>
      </c>
      <c r="G19" s="406"/>
      <c r="H19" s="408"/>
      <c r="J19" s="409" t="s">
        <v>278</v>
      </c>
      <c r="K19" s="380" t="str">
        <f>""</f>
        <v/>
      </c>
      <c r="L19" s="409" t="str">
        <f>""</f>
        <v/>
      </c>
      <c r="M19" s="380" t="str">
        <f>""</f>
        <v/>
      </c>
      <c r="N19" s="409" t="str">
        <f>""</f>
        <v/>
      </c>
      <c r="O19" s="380" t="str">
        <f>""</f>
        <v/>
      </c>
      <c r="P19" s="409" t="str">
        <f>""</f>
        <v/>
      </c>
      <c r="Q19" s="380" t="str">
        <f>""</f>
        <v/>
      </c>
      <c r="R19" s="409" t="str">
        <f>""</f>
        <v/>
      </c>
      <c r="S19" s="380" t="str">
        <f>""</f>
        <v/>
      </c>
      <c r="T19" s="409" t="str">
        <f>""</f>
        <v/>
      </c>
      <c r="U19" s="380"/>
      <c r="V19" s="409" t="str">
        <f>""</f>
        <v/>
      </c>
      <c r="W19" s="125"/>
    </row>
    <row r="20" spans="1:23" ht="27">
      <c r="A20" s="9"/>
      <c r="B20" s="405">
        <f t="shared" si="0"/>
        <v>13</v>
      </c>
      <c r="C20" s="405" t="s">
        <v>940</v>
      </c>
      <c r="D20" s="406"/>
      <c r="E20" s="406"/>
      <c r="F20" s="407">
        <f t="shared" si="1"/>
        <v>0.67000000000000015</v>
      </c>
      <c r="G20" s="406"/>
      <c r="H20" s="408"/>
      <c r="J20" s="409" t="s">
        <v>280</v>
      </c>
      <c r="K20" s="380" t="str">
        <f>""</f>
        <v/>
      </c>
      <c r="L20" s="409" t="str">
        <f>""</f>
        <v/>
      </c>
      <c r="M20" s="380" t="str">
        <f>""</f>
        <v/>
      </c>
      <c r="N20" s="409" t="str">
        <f>""</f>
        <v/>
      </c>
      <c r="O20" s="380" t="str">
        <f>""</f>
        <v/>
      </c>
      <c r="P20" s="409" t="str">
        <f>""</f>
        <v/>
      </c>
      <c r="Q20" s="380" t="str">
        <f>""</f>
        <v/>
      </c>
      <c r="R20" s="409" t="str">
        <f>""</f>
        <v/>
      </c>
      <c r="S20" s="380" t="str">
        <f>""</f>
        <v/>
      </c>
      <c r="T20" s="409" t="str">
        <f>""</f>
        <v/>
      </c>
      <c r="U20" s="380"/>
      <c r="V20" s="409" t="str">
        <f>""</f>
        <v/>
      </c>
      <c r="W20" s="125"/>
    </row>
    <row r="21" spans="1:23" ht="27">
      <c r="A21" s="9"/>
      <c r="B21" s="405">
        <f t="shared" si="0"/>
        <v>14</v>
      </c>
      <c r="C21" s="405" t="s">
        <v>941</v>
      </c>
      <c r="D21" s="406"/>
      <c r="E21" s="406"/>
      <c r="F21" s="407">
        <f t="shared" si="1"/>
        <v>0.68000000000000016</v>
      </c>
      <c r="G21" s="406"/>
      <c r="H21" s="408"/>
      <c r="J21" s="409" t="s">
        <v>282</v>
      </c>
      <c r="K21" s="380" t="str">
        <f>""</f>
        <v/>
      </c>
      <c r="L21" s="409" t="str">
        <f>""</f>
        <v/>
      </c>
      <c r="M21" s="380" t="str">
        <f>""</f>
        <v/>
      </c>
      <c r="N21" s="409" t="str">
        <f>""</f>
        <v/>
      </c>
      <c r="O21" s="380" t="str">
        <f>""</f>
        <v/>
      </c>
      <c r="P21" s="409" t="str">
        <f>""</f>
        <v/>
      </c>
      <c r="Q21" s="380" t="str">
        <f>""</f>
        <v/>
      </c>
      <c r="R21" s="409" t="str">
        <f>""</f>
        <v/>
      </c>
      <c r="S21" s="380" t="str">
        <f>""</f>
        <v/>
      </c>
      <c r="T21" s="409" t="str">
        <f>""</f>
        <v/>
      </c>
      <c r="U21" s="380"/>
      <c r="V21" s="409" t="str">
        <f>""</f>
        <v/>
      </c>
      <c r="W21" s="125"/>
    </row>
    <row r="22" spans="1:23">
      <c r="A22" s="9"/>
      <c r="B22" s="405">
        <f t="shared" si="0"/>
        <v>15</v>
      </c>
      <c r="C22" s="405" t="s">
        <v>942</v>
      </c>
      <c r="D22" s="406"/>
      <c r="E22" s="406"/>
      <c r="F22" s="407">
        <f t="shared" si="1"/>
        <v>0.69000000000000017</v>
      </c>
      <c r="G22" s="406"/>
      <c r="H22" s="408"/>
      <c r="J22" s="409" t="s">
        <v>284</v>
      </c>
      <c r="K22" s="380" t="str">
        <f>""</f>
        <v/>
      </c>
      <c r="L22" s="409" t="str">
        <f>""</f>
        <v/>
      </c>
      <c r="M22" s="380" t="str">
        <f>""</f>
        <v/>
      </c>
      <c r="N22" s="409" t="str">
        <f>""</f>
        <v/>
      </c>
      <c r="O22" s="380" t="str">
        <f>""</f>
        <v/>
      </c>
      <c r="P22" s="409" t="str">
        <f>""</f>
        <v/>
      </c>
      <c r="Q22" s="380" t="str">
        <f>""</f>
        <v/>
      </c>
      <c r="R22" s="409" t="str">
        <f>""</f>
        <v/>
      </c>
      <c r="S22" s="380" t="str">
        <f>""</f>
        <v/>
      </c>
      <c r="T22" s="409" t="str">
        <f>""</f>
        <v/>
      </c>
      <c r="U22" s="380"/>
      <c r="V22" s="409" t="str">
        <f>""</f>
        <v/>
      </c>
      <c r="W22" s="125"/>
    </row>
    <row r="23" spans="1:23" ht="27">
      <c r="A23" s="9"/>
      <c r="B23" s="405">
        <f t="shared" si="0"/>
        <v>16</v>
      </c>
      <c r="C23" s="405" t="s">
        <v>943</v>
      </c>
      <c r="D23" s="406"/>
      <c r="E23" s="406"/>
      <c r="F23" s="407">
        <f t="shared" si="1"/>
        <v>0.70000000000000018</v>
      </c>
      <c r="G23" s="406"/>
      <c r="H23" s="408"/>
      <c r="J23" s="409" t="s">
        <v>286</v>
      </c>
      <c r="K23" s="380" t="str">
        <f>""</f>
        <v/>
      </c>
      <c r="L23" s="409" t="str">
        <f>""</f>
        <v/>
      </c>
      <c r="M23" s="380" t="str">
        <f>""</f>
        <v/>
      </c>
      <c r="N23" s="409" t="str">
        <f>""</f>
        <v/>
      </c>
      <c r="O23" s="380" t="str">
        <f>""</f>
        <v/>
      </c>
      <c r="P23" s="409" t="str">
        <f>""</f>
        <v/>
      </c>
      <c r="Q23" s="380" t="str">
        <f>""</f>
        <v/>
      </c>
      <c r="R23" s="409" t="str">
        <f>""</f>
        <v/>
      </c>
      <c r="S23" s="380" t="str">
        <f>""</f>
        <v/>
      </c>
      <c r="T23" s="409" t="str">
        <f>""</f>
        <v/>
      </c>
      <c r="U23" s="380"/>
      <c r="V23" s="409" t="str">
        <f>""</f>
        <v/>
      </c>
      <c r="W23" s="125"/>
    </row>
    <row r="24" spans="1:23">
      <c r="A24" s="9"/>
      <c r="B24" s="405">
        <f t="shared" si="0"/>
        <v>17</v>
      </c>
      <c r="C24" s="405" t="s">
        <v>944</v>
      </c>
      <c r="D24" s="406"/>
      <c r="E24" s="406"/>
      <c r="F24" s="407">
        <f t="shared" si="1"/>
        <v>0.71000000000000019</v>
      </c>
      <c r="G24" s="406"/>
      <c r="H24" s="408"/>
      <c r="J24" s="409" t="s">
        <v>288</v>
      </c>
      <c r="K24" s="380" t="str">
        <f>""</f>
        <v/>
      </c>
      <c r="L24" s="409" t="str">
        <f>""</f>
        <v/>
      </c>
      <c r="M24" s="380" t="str">
        <f>""</f>
        <v/>
      </c>
      <c r="N24" s="409" t="str">
        <f>""</f>
        <v/>
      </c>
      <c r="O24" s="380" t="str">
        <f>""</f>
        <v/>
      </c>
      <c r="P24" s="409" t="str">
        <f>""</f>
        <v/>
      </c>
      <c r="Q24" s="380" t="str">
        <f>""</f>
        <v/>
      </c>
      <c r="R24" s="409" t="str">
        <f>""</f>
        <v/>
      </c>
      <c r="S24" s="380" t="str">
        <f>""</f>
        <v/>
      </c>
      <c r="T24" s="409" t="str">
        <f>""</f>
        <v/>
      </c>
      <c r="U24" s="380"/>
      <c r="V24" s="409" t="str">
        <f>""</f>
        <v/>
      </c>
      <c r="W24" s="125"/>
    </row>
    <row r="25" spans="1:23" ht="27">
      <c r="A25" s="9"/>
      <c r="B25" s="405">
        <f t="shared" si="0"/>
        <v>18</v>
      </c>
      <c r="C25" s="405" t="s">
        <v>945</v>
      </c>
      <c r="D25" s="406"/>
      <c r="E25" s="406"/>
      <c r="F25" s="407">
        <f t="shared" si="1"/>
        <v>0.7200000000000002</v>
      </c>
      <c r="G25" s="406"/>
      <c r="H25" s="408"/>
      <c r="J25" s="409" t="s">
        <v>290</v>
      </c>
      <c r="K25" s="380" t="str">
        <f>""</f>
        <v/>
      </c>
      <c r="L25" s="409" t="str">
        <f>""</f>
        <v/>
      </c>
      <c r="M25" s="380" t="str">
        <f>""</f>
        <v/>
      </c>
      <c r="N25" s="409" t="str">
        <f>""</f>
        <v/>
      </c>
      <c r="O25" s="380" t="str">
        <f>""</f>
        <v/>
      </c>
      <c r="P25" s="409" t="str">
        <f>""</f>
        <v/>
      </c>
      <c r="Q25" s="380" t="str">
        <f>""</f>
        <v/>
      </c>
      <c r="R25" s="409" t="str">
        <f>""</f>
        <v/>
      </c>
      <c r="S25" s="380" t="str">
        <f>""</f>
        <v/>
      </c>
      <c r="T25" s="409" t="str">
        <f>""</f>
        <v/>
      </c>
      <c r="U25" s="380"/>
      <c r="V25" s="409" t="str">
        <f>""</f>
        <v/>
      </c>
      <c r="W25" s="125"/>
    </row>
    <row r="26" spans="1:23" ht="27">
      <c r="A26" s="9"/>
      <c r="B26" s="405">
        <f t="shared" si="0"/>
        <v>19</v>
      </c>
      <c r="C26" s="405" t="s">
        <v>946</v>
      </c>
      <c r="D26" s="406"/>
      <c r="E26" s="406"/>
      <c r="F26" s="407">
        <f t="shared" si="1"/>
        <v>0.7300000000000002</v>
      </c>
      <c r="G26" s="406"/>
      <c r="H26" s="408"/>
      <c r="J26" s="409" t="s">
        <v>292</v>
      </c>
      <c r="K26" s="380" t="str">
        <f>""</f>
        <v/>
      </c>
      <c r="L26" s="409" t="str">
        <f>""</f>
        <v/>
      </c>
      <c r="M26" s="380" t="str">
        <f>""</f>
        <v/>
      </c>
      <c r="N26" s="409" t="str">
        <f>""</f>
        <v/>
      </c>
      <c r="O26" s="380" t="str">
        <f>""</f>
        <v/>
      </c>
      <c r="P26" s="409" t="str">
        <f>""</f>
        <v/>
      </c>
      <c r="Q26" s="380" t="str">
        <f>""</f>
        <v/>
      </c>
      <c r="R26" s="409" t="str">
        <f>""</f>
        <v/>
      </c>
      <c r="S26" s="380" t="str">
        <f>""</f>
        <v/>
      </c>
      <c r="T26" s="409" t="str">
        <f>""</f>
        <v/>
      </c>
      <c r="U26" s="380"/>
      <c r="V26" s="409" t="str">
        <f>""</f>
        <v/>
      </c>
      <c r="W26" s="125"/>
    </row>
    <row r="27" spans="1:23">
      <c r="A27" s="9"/>
      <c r="B27" s="405">
        <f t="shared" si="0"/>
        <v>20</v>
      </c>
      <c r="C27" s="405" t="s">
        <v>947</v>
      </c>
      <c r="D27" s="406"/>
      <c r="E27" s="406"/>
      <c r="F27" s="407">
        <f t="shared" si="1"/>
        <v>0.74000000000000021</v>
      </c>
      <c r="G27" s="406"/>
      <c r="H27" s="408"/>
      <c r="J27" s="409" t="s">
        <v>294</v>
      </c>
      <c r="K27" s="380" t="str">
        <f>""</f>
        <v/>
      </c>
      <c r="L27" s="409" t="str">
        <f>""</f>
        <v/>
      </c>
      <c r="M27" s="380" t="str">
        <f>""</f>
        <v/>
      </c>
      <c r="N27" s="409" t="str">
        <f>""</f>
        <v/>
      </c>
      <c r="O27" s="380" t="str">
        <f>""</f>
        <v/>
      </c>
      <c r="P27" s="409" t="str">
        <f>""</f>
        <v/>
      </c>
      <c r="Q27" s="380" t="str">
        <f>""</f>
        <v/>
      </c>
      <c r="R27" s="409" t="str">
        <f>""</f>
        <v/>
      </c>
      <c r="S27" s="380" t="str">
        <f>""</f>
        <v/>
      </c>
      <c r="T27" s="409" t="str">
        <f>""</f>
        <v/>
      </c>
      <c r="U27" s="380"/>
      <c r="V27" s="409" t="str">
        <f>""</f>
        <v/>
      </c>
      <c r="W27" s="125"/>
    </row>
    <row r="28" spans="1:23" ht="27">
      <c r="A28" s="9"/>
      <c r="B28" s="405">
        <f t="shared" si="0"/>
        <v>21</v>
      </c>
      <c r="C28" s="405" t="s">
        <v>948</v>
      </c>
      <c r="D28" s="406"/>
      <c r="E28" s="406"/>
      <c r="F28" s="407">
        <f t="shared" si="1"/>
        <v>0.75000000000000022</v>
      </c>
      <c r="G28" s="406"/>
      <c r="H28" s="408"/>
      <c r="J28" s="409" t="s">
        <v>296</v>
      </c>
      <c r="K28" s="380" t="str">
        <f>""</f>
        <v/>
      </c>
      <c r="L28" s="409" t="str">
        <f>""</f>
        <v/>
      </c>
      <c r="M28" s="380" t="str">
        <f>""</f>
        <v/>
      </c>
      <c r="N28" s="409" t="str">
        <f>""</f>
        <v/>
      </c>
      <c r="O28" s="380" t="str">
        <f>""</f>
        <v/>
      </c>
      <c r="P28" s="409" t="str">
        <f>""</f>
        <v/>
      </c>
      <c r="Q28" s="380" t="str">
        <f>""</f>
        <v/>
      </c>
      <c r="R28" s="409" t="str">
        <f>""</f>
        <v/>
      </c>
      <c r="S28" s="380" t="str">
        <f>""</f>
        <v/>
      </c>
      <c r="T28" s="409" t="str">
        <f>""</f>
        <v/>
      </c>
      <c r="U28" s="380"/>
      <c r="V28" s="409" t="str">
        <f>""</f>
        <v/>
      </c>
      <c r="W28" s="125"/>
    </row>
    <row r="29" spans="1:23">
      <c r="A29" s="9"/>
      <c r="B29" s="405">
        <f t="shared" si="0"/>
        <v>22</v>
      </c>
      <c r="C29" s="405" t="s">
        <v>949</v>
      </c>
      <c r="D29" s="406"/>
      <c r="E29" s="406"/>
      <c r="F29" s="407">
        <f t="shared" si="1"/>
        <v>0.76000000000000023</v>
      </c>
      <c r="G29" s="406"/>
      <c r="H29" s="408"/>
      <c r="J29" s="409" t="s">
        <v>298</v>
      </c>
      <c r="K29" s="380" t="str">
        <f>""</f>
        <v/>
      </c>
      <c r="L29" s="409" t="str">
        <f>""</f>
        <v/>
      </c>
      <c r="M29" s="380" t="str">
        <f>""</f>
        <v/>
      </c>
      <c r="N29" s="409" t="str">
        <f>""</f>
        <v/>
      </c>
      <c r="O29" s="380" t="str">
        <f>""</f>
        <v/>
      </c>
      <c r="P29" s="409" t="str">
        <f>""</f>
        <v/>
      </c>
      <c r="Q29" s="380" t="str">
        <f>""</f>
        <v/>
      </c>
      <c r="R29" s="409" t="str">
        <f>""</f>
        <v/>
      </c>
      <c r="S29" s="380" t="str">
        <f>""</f>
        <v/>
      </c>
      <c r="T29" s="409" t="str">
        <f>""</f>
        <v/>
      </c>
      <c r="U29" s="380"/>
      <c r="V29" s="409" t="str">
        <f>""</f>
        <v/>
      </c>
      <c r="W29" s="125"/>
    </row>
    <row r="30" spans="1:23" ht="27">
      <c r="A30" s="9"/>
      <c r="B30" s="405">
        <f t="shared" si="0"/>
        <v>23</v>
      </c>
      <c r="C30" s="405" t="s">
        <v>950</v>
      </c>
      <c r="D30" s="406"/>
      <c r="E30" s="406"/>
      <c r="F30" s="407">
        <f t="shared" si="1"/>
        <v>0.77000000000000024</v>
      </c>
      <c r="G30" s="406"/>
      <c r="H30" s="408"/>
      <c r="J30" s="409" t="s">
        <v>300</v>
      </c>
      <c r="K30" s="380" t="str">
        <f>""</f>
        <v/>
      </c>
      <c r="L30" s="409" t="str">
        <f>""</f>
        <v/>
      </c>
      <c r="M30" s="380" t="str">
        <f>""</f>
        <v/>
      </c>
      <c r="N30" s="409" t="str">
        <f>""</f>
        <v/>
      </c>
      <c r="O30" s="380" t="str">
        <f>""</f>
        <v/>
      </c>
      <c r="P30" s="409" t="str">
        <f>""</f>
        <v/>
      </c>
      <c r="Q30" s="380" t="str">
        <f>""</f>
        <v/>
      </c>
      <c r="R30" s="409" t="str">
        <f>""</f>
        <v/>
      </c>
      <c r="S30" s="380" t="str">
        <f>""</f>
        <v/>
      </c>
      <c r="T30" s="409" t="str">
        <f>""</f>
        <v/>
      </c>
      <c r="U30" s="380"/>
      <c r="V30" s="409" t="str">
        <f>""</f>
        <v/>
      </c>
      <c r="W30" s="125"/>
    </row>
    <row r="31" spans="1:23" ht="27">
      <c r="A31" s="9"/>
      <c r="B31" s="405">
        <f t="shared" si="0"/>
        <v>24</v>
      </c>
      <c r="C31" s="405" t="s">
        <v>951</v>
      </c>
      <c r="D31" s="406"/>
      <c r="E31" s="406"/>
      <c r="F31" s="407">
        <f t="shared" si="1"/>
        <v>0.78000000000000025</v>
      </c>
      <c r="G31" s="406"/>
      <c r="H31" s="408"/>
      <c r="J31" s="409" t="s">
        <v>302</v>
      </c>
      <c r="K31" s="380" t="str">
        <f>""</f>
        <v/>
      </c>
      <c r="L31" s="409" t="str">
        <f>""</f>
        <v/>
      </c>
      <c r="M31" s="380" t="str">
        <f>""</f>
        <v/>
      </c>
      <c r="N31" s="409" t="str">
        <f>""</f>
        <v/>
      </c>
      <c r="O31" s="380" t="str">
        <f>""</f>
        <v/>
      </c>
      <c r="P31" s="409" t="str">
        <f>""</f>
        <v/>
      </c>
      <c r="Q31" s="380" t="str">
        <f>""</f>
        <v/>
      </c>
      <c r="R31" s="409" t="str">
        <f>""</f>
        <v/>
      </c>
      <c r="S31" s="380" t="str">
        <f>""</f>
        <v/>
      </c>
      <c r="T31" s="409" t="str">
        <f>""</f>
        <v/>
      </c>
      <c r="U31" s="380"/>
      <c r="V31" s="409" t="str">
        <f>""</f>
        <v/>
      </c>
      <c r="W31" s="125"/>
    </row>
    <row r="32" spans="1:23" ht="27">
      <c r="A32" s="9"/>
      <c r="B32" s="405">
        <f t="shared" si="0"/>
        <v>25</v>
      </c>
      <c r="C32" s="405" t="s">
        <v>952</v>
      </c>
      <c r="D32" s="406"/>
      <c r="E32" s="406"/>
      <c r="F32" s="407">
        <f t="shared" si="1"/>
        <v>0.79000000000000026</v>
      </c>
      <c r="G32" s="406"/>
      <c r="H32" s="408"/>
      <c r="J32" s="409" t="s">
        <v>304</v>
      </c>
      <c r="K32" s="380" t="str">
        <f>""</f>
        <v/>
      </c>
      <c r="L32" s="409" t="str">
        <f>""</f>
        <v/>
      </c>
      <c r="M32" s="380" t="str">
        <f>""</f>
        <v/>
      </c>
      <c r="N32" s="409" t="str">
        <f>""</f>
        <v/>
      </c>
      <c r="O32" s="380" t="str">
        <f>""</f>
        <v/>
      </c>
      <c r="P32" s="409" t="str">
        <f>""</f>
        <v/>
      </c>
      <c r="Q32" s="380" t="str">
        <f>""</f>
        <v/>
      </c>
      <c r="R32" s="409" t="str">
        <f>""</f>
        <v/>
      </c>
      <c r="S32" s="380" t="str">
        <f>""</f>
        <v/>
      </c>
      <c r="T32" s="409" t="str">
        <f>""</f>
        <v/>
      </c>
      <c r="U32" s="380"/>
      <c r="V32" s="409" t="str">
        <f>""</f>
        <v/>
      </c>
      <c r="W32" s="125"/>
    </row>
    <row r="33" spans="1:23">
      <c r="A33" s="9"/>
      <c r="B33" s="405">
        <f t="shared" si="0"/>
        <v>26</v>
      </c>
      <c r="C33" s="405" t="s">
        <v>953</v>
      </c>
      <c r="D33" s="406"/>
      <c r="E33" s="406"/>
      <c r="F33" s="407">
        <f t="shared" si="1"/>
        <v>0.80000000000000027</v>
      </c>
      <c r="G33" s="406"/>
      <c r="H33" s="408"/>
      <c r="J33" s="409" t="s">
        <v>306</v>
      </c>
      <c r="K33" s="380" t="str">
        <f>""</f>
        <v/>
      </c>
      <c r="L33" s="409" t="str">
        <f>""</f>
        <v/>
      </c>
      <c r="M33" s="380" t="str">
        <f>""</f>
        <v/>
      </c>
      <c r="N33" s="409" t="str">
        <f>""</f>
        <v/>
      </c>
      <c r="O33" s="380" t="str">
        <f>""</f>
        <v/>
      </c>
      <c r="P33" s="409" t="str">
        <f>""</f>
        <v/>
      </c>
      <c r="Q33" s="380" t="str">
        <f>""</f>
        <v/>
      </c>
      <c r="R33" s="409" t="str">
        <f>""</f>
        <v/>
      </c>
      <c r="S33" s="380" t="str">
        <f>""</f>
        <v/>
      </c>
      <c r="T33" s="409" t="str">
        <f>""</f>
        <v/>
      </c>
      <c r="U33" s="380"/>
      <c r="V33" s="409" t="str">
        <f>""</f>
        <v/>
      </c>
      <c r="W33" s="125"/>
    </row>
    <row r="34" spans="1:23" ht="27">
      <c r="A34" s="9"/>
      <c r="B34" s="405">
        <f t="shared" si="0"/>
        <v>27</v>
      </c>
      <c r="C34" s="405" t="s">
        <v>954</v>
      </c>
      <c r="D34" s="406"/>
      <c r="E34" s="406"/>
      <c r="F34" s="407">
        <f t="shared" si="1"/>
        <v>0.81000000000000028</v>
      </c>
      <c r="G34" s="406"/>
      <c r="H34" s="408"/>
      <c r="J34" s="409" t="s">
        <v>308</v>
      </c>
      <c r="K34" s="380" t="str">
        <f>""</f>
        <v/>
      </c>
      <c r="L34" s="409" t="str">
        <f>""</f>
        <v/>
      </c>
      <c r="M34" s="380" t="str">
        <f>""</f>
        <v/>
      </c>
      <c r="N34" s="409" t="str">
        <f>""</f>
        <v/>
      </c>
      <c r="O34" s="380" t="str">
        <f>""</f>
        <v/>
      </c>
      <c r="P34" s="409" t="str">
        <f>""</f>
        <v/>
      </c>
      <c r="Q34" s="380" t="str">
        <f>""</f>
        <v/>
      </c>
      <c r="R34" s="409" t="str">
        <f>""</f>
        <v/>
      </c>
      <c r="S34" s="380" t="str">
        <f>""</f>
        <v/>
      </c>
      <c r="T34" s="409" t="str">
        <f>""</f>
        <v/>
      </c>
      <c r="U34" s="380"/>
      <c r="V34" s="409" t="str">
        <f>""</f>
        <v/>
      </c>
      <c r="W34" s="125"/>
    </row>
    <row r="35" spans="1:23">
      <c r="A35" s="9"/>
      <c r="B35" s="405">
        <f t="shared" si="0"/>
        <v>28</v>
      </c>
      <c r="C35" s="405" t="s">
        <v>955</v>
      </c>
      <c r="D35" s="406"/>
      <c r="E35" s="406"/>
      <c r="F35" s="407">
        <f t="shared" si="1"/>
        <v>0.82000000000000028</v>
      </c>
      <c r="G35" s="406"/>
      <c r="H35" s="408"/>
      <c r="J35" s="409" t="s">
        <v>310</v>
      </c>
      <c r="K35" s="380" t="str">
        <f>""</f>
        <v/>
      </c>
      <c r="L35" s="409" t="str">
        <f>""</f>
        <v/>
      </c>
      <c r="M35" s="380" t="str">
        <f>""</f>
        <v/>
      </c>
      <c r="N35" s="409" t="str">
        <f>""</f>
        <v/>
      </c>
      <c r="O35" s="380" t="str">
        <f>""</f>
        <v/>
      </c>
      <c r="P35" s="409" t="str">
        <f>""</f>
        <v/>
      </c>
      <c r="Q35" s="380" t="str">
        <f>""</f>
        <v/>
      </c>
      <c r="R35" s="409" t="str">
        <f>""</f>
        <v/>
      </c>
      <c r="S35" s="380" t="str">
        <f>""</f>
        <v/>
      </c>
      <c r="T35" s="409" t="str">
        <f>""</f>
        <v/>
      </c>
      <c r="U35" s="380"/>
      <c r="V35" s="409" t="str">
        <f>""</f>
        <v/>
      </c>
      <c r="W35" s="125"/>
    </row>
    <row r="36" spans="1:23">
      <c r="A36" s="9"/>
      <c r="B36" s="405">
        <f t="shared" si="0"/>
        <v>29</v>
      </c>
      <c r="C36" s="405" t="s">
        <v>956</v>
      </c>
      <c r="D36" s="406"/>
      <c r="E36" s="406"/>
      <c r="F36" s="407">
        <f t="shared" si="1"/>
        <v>0.83000000000000029</v>
      </c>
      <c r="G36" s="406"/>
      <c r="H36" s="408"/>
      <c r="J36" s="409" t="s">
        <v>312</v>
      </c>
      <c r="K36" s="380" t="str">
        <f>""</f>
        <v/>
      </c>
      <c r="L36" s="409" t="str">
        <f>""</f>
        <v/>
      </c>
      <c r="M36" s="380" t="str">
        <f>""</f>
        <v/>
      </c>
      <c r="N36" s="409" t="str">
        <f>""</f>
        <v/>
      </c>
      <c r="O36" s="380" t="str">
        <f>""</f>
        <v/>
      </c>
      <c r="P36" s="409" t="str">
        <f>""</f>
        <v/>
      </c>
      <c r="Q36" s="380" t="str">
        <f>""</f>
        <v/>
      </c>
      <c r="R36" s="409" t="str">
        <f>""</f>
        <v/>
      </c>
      <c r="S36" s="380" t="str">
        <f>""</f>
        <v/>
      </c>
      <c r="T36" s="409" t="str">
        <f>""</f>
        <v/>
      </c>
      <c r="U36" s="380"/>
      <c r="V36" s="409" t="str">
        <f>""</f>
        <v/>
      </c>
      <c r="W36" s="125"/>
    </row>
    <row r="37" spans="1:23">
      <c r="A37" s="9"/>
      <c r="B37" s="405">
        <f t="shared" si="0"/>
        <v>30</v>
      </c>
      <c r="C37" s="405" t="s">
        <v>957</v>
      </c>
      <c r="D37" s="406"/>
      <c r="E37" s="406"/>
      <c r="F37" s="407">
        <f t="shared" si="1"/>
        <v>0.8400000000000003</v>
      </c>
      <c r="G37" s="406"/>
      <c r="H37" s="408"/>
      <c r="J37" s="409" t="s">
        <v>314</v>
      </c>
      <c r="K37" s="380" t="str">
        <f>""</f>
        <v/>
      </c>
      <c r="L37" s="409" t="str">
        <f>""</f>
        <v/>
      </c>
      <c r="M37" s="380" t="str">
        <f>""</f>
        <v/>
      </c>
      <c r="N37" s="409" t="str">
        <f>""</f>
        <v/>
      </c>
      <c r="O37" s="380" t="str">
        <f>""</f>
        <v/>
      </c>
      <c r="P37" s="409" t="str">
        <f>""</f>
        <v/>
      </c>
      <c r="Q37" s="380" t="str">
        <f>""</f>
        <v/>
      </c>
      <c r="R37" s="409" t="str">
        <f>""</f>
        <v/>
      </c>
      <c r="S37" s="380" t="str">
        <f>""</f>
        <v/>
      </c>
      <c r="T37" s="409" t="str">
        <f>""</f>
        <v/>
      </c>
      <c r="U37" s="380"/>
      <c r="V37" s="409" t="str">
        <f>""</f>
        <v/>
      </c>
      <c r="W37" s="125"/>
    </row>
    <row r="38" spans="1:23">
      <c r="A38" s="9"/>
      <c r="B38" s="405">
        <f t="shared" si="0"/>
        <v>31</v>
      </c>
      <c r="C38" s="405" t="s">
        <v>958</v>
      </c>
      <c r="D38" s="406"/>
      <c r="E38" s="406"/>
      <c r="F38" s="407">
        <f t="shared" si="1"/>
        <v>0.85000000000000031</v>
      </c>
      <c r="G38" s="406"/>
      <c r="H38" s="408"/>
      <c r="J38" s="409" t="s">
        <v>316</v>
      </c>
      <c r="K38" s="380" t="str">
        <f>""</f>
        <v/>
      </c>
      <c r="L38" s="409" t="str">
        <f>""</f>
        <v/>
      </c>
      <c r="M38" s="380" t="str">
        <f>""</f>
        <v/>
      </c>
      <c r="N38" s="409" t="str">
        <f>""</f>
        <v/>
      </c>
      <c r="O38" s="380" t="str">
        <f>""</f>
        <v/>
      </c>
      <c r="P38" s="409" t="str">
        <f>""</f>
        <v/>
      </c>
      <c r="Q38" s="380" t="str">
        <f>""</f>
        <v/>
      </c>
      <c r="R38" s="409" t="str">
        <f>""</f>
        <v/>
      </c>
      <c r="S38" s="380" t="str">
        <f>""</f>
        <v/>
      </c>
      <c r="T38" s="409" t="str">
        <f>""</f>
        <v/>
      </c>
      <c r="U38" s="380"/>
      <c r="V38" s="409" t="str">
        <f>""</f>
        <v/>
      </c>
      <c r="W38" s="125"/>
    </row>
    <row r="39" spans="1:23">
      <c r="A39" s="9"/>
      <c r="B39" s="405">
        <f t="shared" si="0"/>
        <v>32</v>
      </c>
      <c r="C39" s="405" t="s">
        <v>959</v>
      </c>
      <c r="D39" s="406"/>
      <c r="E39" s="406"/>
      <c r="F39" s="407">
        <f t="shared" si="1"/>
        <v>0.86000000000000032</v>
      </c>
      <c r="G39" s="406"/>
      <c r="H39" s="408"/>
      <c r="J39" s="409" t="s">
        <v>318</v>
      </c>
      <c r="K39" s="380" t="str">
        <f>""</f>
        <v/>
      </c>
      <c r="L39" s="409" t="str">
        <f>""</f>
        <v/>
      </c>
      <c r="M39" s="380" t="str">
        <f>""</f>
        <v/>
      </c>
      <c r="N39" s="409" t="str">
        <f>""</f>
        <v/>
      </c>
      <c r="O39" s="380" t="str">
        <f>""</f>
        <v/>
      </c>
      <c r="P39" s="409" t="str">
        <f>""</f>
        <v/>
      </c>
      <c r="Q39" s="380" t="str">
        <f>""</f>
        <v/>
      </c>
      <c r="R39" s="409" t="str">
        <f>""</f>
        <v/>
      </c>
      <c r="S39" s="380" t="str">
        <f>""</f>
        <v/>
      </c>
      <c r="T39" s="409" t="str">
        <f>""</f>
        <v/>
      </c>
      <c r="U39" s="380"/>
      <c r="V39" s="409" t="str">
        <f>""</f>
        <v/>
      </c>
      <c r="W39" s="125"/>
    </row>
    <row r="40" spans="1:23">
      <c r="A40" s="9"/>
      <c r="B40" s="405">
        <f t="shared" si="0"/>
        <v>33</v>
      </c>
      <c r="C40" s="405" t="s">
        <v>960</v>
      </c>
      <c r="D40" s="406"/>
      <c r="E40" s="406"/>
      <c r="F40" s="407">
        <f t="shared" si="1"/>
        <v>0.87000000000000033</v>
      </c>
      <c r="G40" s="406"/>
      <c r="H40" s="408"/>
      <c r="J40" s="409" t="s">
        <v>320</v>
      </c>
      <c r="K40" s="380" t="str">
        <f>""</f>
        <v/>
      </c>
      <c r="L40" s="409" t="str">
        <f>""</f>
        <v/>
      </c>
      <c r="M40" s="380" t="str">
        <f>""</f>
        <v/>
      </c>
      <c r="N40" s="409" t="str">
        <f>""</f>
        <v/>
      </c>
      <c r="O40" s="380" t="str">
        <f>""</f>
        <v/>
      </c>
      <c r="P40" s="409" t="str">
        <f>""</f>
        <v/>
      </c>
      <c r="Q40" s="380" t="str">
        <f>""</f>
        <v/>
      </c>
      <c r="R40" s="409" t="str">
        <f>""</f>
        <v/>
      </c>
      <c r="S40" s="380" t="str">
        <f>""</f>
        <v/>
      </c>
      <c r="T40" s="409" t="str">
        <f>""</f>
        <v/>
      </c>
      <c r="U40" s="380"/>
      <c r="V40" s="409" t="str">
        <f>""</f>
        <v/>
      </c>
      <c r="W40" s="125"/>
    </row>
    <row r="41" spans="1:23" ht="27">
      <c r="A41" s="9"/>
      <c r="B41" s="405">
        <f t="shared" si="0"/>
        <v>34</v>
      </c>
      <c r="C41" s="405" t="s">
        <v>961</v>
      </c>
      <c r="D41" s="406"/>
      <c r="E41" s="406"/>
      <c r="F41" s="407">
        <f t="shared" si="1"/>
        <v>0.88000000000000034</v>
      </c>
      <c r="G41" s="406"/>
      <c r="H41" s="408"/>
      <c r="J41" s="409" t="s">
        <v>352</v>
      </c>
      <c r="K41" s="380" t="str">
        <f>""</f>
        <v/>
      </c>
      <c r="L41" s="409" t="str">
        <f>""</f>
        <v/>
      </c>
      <c r="M41" s="380" t="str">
        <f>""</f>
        <v/>
      </c>
      <c r="N41" s="409" t="str">
        <f>""</f>
        <v/>
      </c>
      <c r="O41" s="380" t="str">
        <f>""</f>
        <v/>
      </c>
      <c r="P41" s="409" t="str">
        <f>""</f>
        <v/>
      </c>
      <c r="Q41" s="380" t="str">
        <f>""</f>
        <v/>
      </c>
      <c r="R41" s="409" t="str">
        <f>""</f>
        <v/>
      </c>
      <c r="S41" s="380" t="str">
        <f>""</f>
        <v/>
      </c>
      <c r="T41" s="409" t="str">
        <f>""</f>
        <v/>
      </c>
      <c r="U41" s="380"/>
      <c r="V41" s="409" t="str">
        <f>""</f>
        <v/>
      </c>
      <c r="W41" s="125"/>
    </row>
    <row r="42" spans="1:23" ht="27">
      <c r="A42" s="9"/>
      <c r="B42" s="405">
        <f t="shared" si="0"/>
        <v>35</v>
      </c>
      <c r="C42" s="405" t="s">
        <v>962</v>
      </c>
      <c r="D42" s="406"/>
      <c r="E42" s="406"/>
      <c r="F42" s="407">
        <f t="shared" si="1"/>
        <v>0.89000000000000035</v>
      </c>
      <c r="G42" s="406"/>
      <c r="H42" s="408"/>
      <c r="J42" s="409" t="s">
        <v>354</v>
      </c>
      <c r="K42" s="380" t="str">
        <f>""</f>
        <v/>
      </c>
      <c r="L42" s="409" t="str">
        <f>""</f>
        <v/>
      </c>
      <c r="M42" s="380" t="str">
        <f>""</f>
        <v/>
      </c>
      <c r="N42" s="409" t="str">
        <f>""</f>
        <v/>
      </c>
      <c r="O42" s="380" t="str">
        <f>""</f>
        <v/>
      </c>
      <c r="P42" s="409" t="str">
        <f>""</f>
        <v/>
      </c>
      <c r="Q42" s="380" t="str">
        <f>""</f>
        <v/>
      </c>
      <c r="R42" s="409" t="str">
        <f>""</f>
        <v/>
      </c>
      <c r="S42" s="380" t="str">
        <f>""</f>
        <v/>
      </c>
      <c r="T42" s="409" t="str">
        <f>""</f>
        <v/>
      </c>
      <c r="U42" s="380"/>
      <c r="V42" s="409" t="str">
        <f>""</f>
        <v/>
      </c>
      <c r="W42" s="125"/>
    </row>
    <row r="43" spans="1:23" ht="27">
      <c r="A43" s="9"/>
      <c r="B43" s="405">
        <f t="shared" si="0"/>
        <v>36</v>
      </c>
      <c r="C43" s="405" t="s">
        <v>963</v>
      </c>
      <c r="D43" s="406"/>
      <c r="E43" s="406"/>
      <c r="F43" s="407">
        <f t="shared" si="1"/>
        <v>0.90000000000000036</v>
      </c>
      <c r="G43" s="406"/>
      <c r="H43" s="408"/>
      <c r="J43" s="409" t="s">
        <v>356</v>
      </c>
      <c r="K43" s="380" t="str">
        <f>""</f>
        <v/>
      </c>
      <c r="L43" s="409" t="str">
        <f>""</f>
        <v/>
      </c>
      <c r="M43" s="380" t="str">
        <f>""</f>
        <v/>
      </c>
      <c r="N43" s="409" t="str">
        <f>""</f>
        <v/>
      </c>
      <c r="O43" s="380" t="str">
        <f>""</f>
        <v/>
      </c>
      <c r="P43" s="409" t="str">
        <f>""</f>
        <v/>
      </c>
      <c r="Q43" s="380" t="str">
        <f>""</f>
        <v/>
      </c>
      <c r="R43" s="409" t="str">
        <f>""</f>
        <v/>
      </c>
      <c r="S43" s="380" t="str">
        <f>""</f>
        <v/>
      </c>
      <c r="T43" s="409" t="str">
        <f>""</f>
        <v/>
      </c>
      <c r="U43" s="380"/>
      <c r="V43" s="409" t="str">
        <f>""</f>
        <v/>
      </c>
      <c r="W43" s="125"/>
    </row>
    <row r="44" spans="1:23" ht="27">
      <c r="A44" s="9"/>
      <c r="B44" s="405">
        <f t="shared" si="0"/>
        <v>37</v>
      </c>
      <c r="C44" s="405" t="s">
        <v>964</v>
      </c>
      <c r="D44" s="406"/>
      <c r="E44" s="406"/>
      <c r="F44" s="407">
        <f t="shared" si="1"/>
        <v>0.91000000000000036</v>
      </c>
      <c r="G44" s="406"/>
      <c r="H44" s="408"/>
      <c r="J44" s="409" t="s">
        <v>358</v>
      </c>
      <c r="K44" s="380" t="str">
        <f>""</f>
        <v/>
      </c>
      <c r="L44" s="409" t="str">
        <f>""</f>
        <v/>
      </c>
      <c r="M44" s="380" t="str">
        <f>""</f>
        <v/>
      </c>
      <c r="N44" s="409" t="str">
        <f>""</f>
        <v/>
      </c>
      <c r="O44" s="380" t="str">
        <f>""</f>
        <v/>
      </c>
      <c r="P44" s="409" t="str">
        <f>""</f>
        <v/>
      </c>
      <c r="Q44" s="380" t="str">
        <f>""</f>
        <v/>
      </c>
      <c r="R44" s="409" t="str">
        <f>""</f>
        <v/>
      </c>
      <c r="S44" s="380" t="str">
        <f>""</f>
        <v/>
      </c>
      <c r="T44" s="409" t="str">
        <f>""</f>
        <v/>
      </c>
      <c r="U44" s="380"/>
      <c r="V44" s="409" t="str">
        <f>""</f>
        <v/>
      </c>
      <c r="W44" s="125"/>
    </row>
    <row r="45" spans="1:23">
      <c r="A45" s="9"/>
      <c r="B45" s="405">
        <f t="shared" si="0"/>
        <v>38</v>
      </c>
      <c r="C45" s="405" t="s">
        <v>965</v>
      </c>
      <c r="D45" s="406"/>
      <c r="E45" s="406"/>
      <c r="F45" s="407">
        <f t="shared" si="1"/>
        <v>0.92000000000000037</v>
      </c>
      <c r="G45" s="406"/>
      <c r="H45" s="408"/>
      <c r="J45" s="409" t="s">
        <v>246</v>
      </c>
      <c r="L45" s="409" t="s">
        <v>966</v>
      </c>
      <c r="N45" s="409" t="s">
        <v>246</v>
      </c>
      <c r="O45" s="380" t="str">
        <f>""</f>
        <v/>
      </c>
      <c r="P45" s="409" t="str">
        <f>""</f>
        <v/>
      </c>
      <c r="Q45" s="380" t="str">
        <f>""</f>
        <v/>
      </c>
      <c r="R45" s="409" t="str">
        <f>""</f>
        <v/>
      </c>
      <c r="S45" s="380" t="str">
        <f>""</f>
        <v/>
      </c>
      <c r="T45" s="409" t="str">
        <f>""</f>
        <v/>
      </c>
      <c r="U45" s="380"/>
      <c r="V45" s="409" t="str">
        <f>""</f>
        <v/>
      </c>
      <c r="W45" s="125"/>
    </row>
    <row r="46" spans="1:23">
      <c r="A46" s="9"/>
      <c r="B46" s="405">
        <f t="shared" si="0"/>
        <v>39</v>
      </c>
      <c r="C46" s="405" t="s">
        <v>967</v>
      </c>
      <c r="D46" s="406"/>
      <c r="E46" s="406"/>
      <c r="F46" s="407">
        <f t="shared" si="1"/>
        <v>0.93000000000000038</v>
      </c>
      <c r="G46" s="406"/>
      <c r="H46" s="408"/>
      <c r="J46" s="409" t="s">
        <v>246</v>
      </c>
      <c r="L46" s="409" t="s">
        <v>968</v>
      </c>
      <c r="N46" s="409" t="s">
        <v>246</v>
      </c>
      <c r="O46" s="380" t="str">
        <f>""</f>
        <v/>
      </c>
      <c r="P46" s="409" t="str">
        <f>""</f>
        <v/>
      </c>
      <c r="Q46" s="380" t="str">
        <f>""</f>
        <v/>
      </c>
      <c r="R46" s="409" t="str">
        <f>""</f>
        <v/>
      </c>
      <c r="S46" s="380" t="str">
        <f>""</f>
        <v/>
      </c>
      <c r="T46" s="409" t="str">
        <f>""</f>
        <v/>
      </c>
      <c r="U46" s="380"/>
      <c r="V46" s="409" t="str">
        <f>""</f>
        <v/>
      </c>
      <c r="W46" s="125"/>
    </row>
    <row r="47" spans="1:23">
      <c r="A47" s="9"/>
      <c r="B47" s="405">
        <f t="shared" si="0"/>
        <v>40</v>
      </c>
      <c r="C47" s="405" t="s">
        <v>969</v>
      </c>
      <c r="D47" s="406"/>
      <c r="E47" s="406"/>
      <c r="F47" s="407">
        <f t="shared" si="1"/>
        <v>0.94000000000000039</v>
      </c>
      <c r="G47" s="406"/>
      <c r="H47" s="408"/>
      <c r="J47" s="409" t="s">
        <v>246</v>
      </c>
      <c r="L47" s="409" t="s">
        <v>970</v>
      </c>
      <c r="N47" s="409" t="s">
        <v>246</v>
      </c>
      <c r="O47" s="380" t="str">
        <f>""</f>
        <v/>
      </c>
      <c r="P47" s="409" t="str">
        <f>""</f>
        <v/>
      </c>
      <c r="Q47" s="380" t="str">
        <f>""</f>
        <v/>
      </c>
      <c r="R47" s="409" t="str">
        <f>""</f>
        <v/>
      </c>
      <c r="S47" s="380" t="str">
        <f>""</f>
        <v/>
      </c>
      <c r="T47" s="409" t="str">
        <f>""</f>
        <v/>
      </c>
      <c r="U47" s="380"/>
      <c r="V47" s="409" t="str">
        <f>""</f>
        <v/>
      </c>
      <c r="W47" s="125"/>
    </row>
    <row r="48" spans="1:23">
      <c r="A48" s="9"/>
      <c r="B48" s="405">
        <f t="shared" si="0"/>
        <v>41</v>
      </c>
      <c r="C48" s="405" t="s">
        <v>971</v>
      </c>
      <c r="D48" s="406"/>
      <c r="E48" s="406"/>
      <c r="F48" s="407">
        <f t="shared" si="1"/>
        <v>0.9500000000000004</v>
      </c>
      <c r="G48" s="406"/>
      <c r="H48" s="408"/>
      <c r="J48" s="409" t="s">
        <v>248</v>
      </c>
      <c r="L48" s="409" t="s">
        <v>966</v>
      </c>
      <c r="N48" s="409" t="s">
        <v>248</v>
      </c>
      <c r="O48" s="380" t="str">
        <f>""</f>
        <v/>
      </c>
      <c r="P48" s="409" t="str">
        <f>""</f>
        <v/>
      </c>
      <c r="Q48" s="380" t="str">
        <f>""</f>
        <v/>
      </c>
      <c r="R48" s="409" t="str">
        <f>""</f>
        <v/>
      </c>
      <c r="S48" s="380" t="str">
        <f>""</f>
        <v/>
      </c>
      <c r="T48" s="409" t="str">
        <f>""</f>
        <v/>
      </c>
      <c r="U48" s="380"/>
      <c r="V48" s="409" t="str">
        <f>""</f>
        <v/>
      </c>
      <c r="W48" s="125"/>
    </row>
    <row r="49" spans="1:23">
      <c r="A49" s="9"/>
      <c r="B49" s="405">
        <f t="shared" si="0"/>
        <v>42</v>
      </c>
      <c r="C49" s="405" t="s">
        <v>972</v>
      </c>
      <c r="D49" s="406"/>
      <c r="E49" s="406"/>
      <c r="F49" s="407">
        <f t="shared" si="1"/>
        <v>0.96000000000000041</v>
      </c>
      <c r="G49" s="406"/>
      <c r="H49" s="408"/>
      <c r="J49" s="409" t="s">
        <v>248</v>
      </c>
      <c r="L49" s="409" t="s">
        <v>968</v>
      </c>
      <c r="N49" s="409" t="s">
        <v>248</v>
      </c>
      <c r="O49" s="380" t="str">
        <f>""</f>
        <v/>
      </c>
      <c r="P49" s="409" t="str">
        <f>""</f>
        <v/>
      </c>
      <c r="Q49" s="380" t="str">
        <f>""</f>
        <v/>
      </c>
      <c r="R49" s="409" t="str">
        <f>""</f>
        <v/>
      </c>
      <c r="S49" s="380" t="str">
        <f>""</f>
        <v/>
      </c>
      <c r="T49" s="409" t="str">
        <f>""</f>
        <v/>
      </c>
      <c r="U49" s="380"/>
      <c r="V49" s="409" t="str">
        <f>""</f>
        <v/>
      </c>
      <c r="W49" s="125"/>
    </row>
    <row r="50" spans="1:23">
      <c r="A50" s="9"/>
      <c r="B50" s="405">
        <f t="shared" si="0"/>
        <v>43</v>
      </c>
      <c r="C50" s="405" t="s">
        <v>973</v>
      </c>
      <c r="D50" s="406"/>
      <c r="E50" s="406"/>
      <c r="F50" s="407">
        <f t="shared" si="1"/>
        <v>0.97000000000000042</v>
      </c>
      <c r="G50" s="406"/>
      <c r="H50" s="408"/>
      <c r="J50" s="409" t="s">
        <v>248</v>
      </c>
      <c r="L50" s="409" t="s">
        <v>970</v>
      </c>
      <c r="N50" s="409" t="s">
        <v>248</v>
      </c>
      <c r="O50" s="380" t="str">
        <f>""</f>
        <v/>
      </c>
      <c r="P50" s="409" t="str">
        <f>""</f>
        <v/>
      </c>
      <c r="Q50" s="380" t="str">
        <f>""</f>
        <v/>
      </c>
      <c r="R50" s="409" t="str">
        <f>""</f>
        <v/>
      </c>
      <c r="S50" s="380" t="str">
        <f>""</f>
        <v/>
      </c>
      <c r="T50" s="409" t="str">
        <f>""</f>
        <v/>
      </c>
      <c r="U50" s="380"/>
      <c r="V50" s="409" t="str">
        <f>""</f>
        <v/>
      </c>
      <c r="W50" s="125"/>
    </row>
    <row r="51" spans="1:23">
      <c r="A51" s="9"/>
      <c r="B51" s="405">
        <f t="shared" si="0"/>
        <v>44</v>
      </c>
      <c r="C51" s="405" t="s">
        <v>974</v>
      </c>
      <c r="D51" s="406"/>
      <c r="E51" s="406"/>
      <c r="F51" s="407">
        <f t="shared" si="1"/>
        <v>0.98000000000000043</v>
      </c>
      <c r="G51" s="406"/>
      <c r="H51" s="408"/>
      <c r="J51" s="409" t="s">
        <v>270</v>
      </c>
      <c r="L51" s="409" t="s">
        <v>966</v>
      </c>
      <c r="N51" s="409" t="s">
        <v>270</v>
      </c>
      <c r="O51" s="380" t="str">
        <f>""</f>
        <v/>
      </c>
      <c r="P51" s="409" t="str">
        <f>""</f>
        <v/>
      </c>
      <c r="Q51" s="380" t="str">
        <f>""</f>
        <v/>
      </c>
      <c r="R51" s="409" t="str">
        <f>""</f>
        <v/>
      </c>
      <c r="S51" s="380" t="str">
        <f>""</f>
        <v/>
      </c>
      <c r="T51" s="409" t="str">
        <f>""</f>
        <v/>
      </c>
      <c r="U51" s="380"/>
      <c r="V51" s="409" t="str">
        <f>""</f>
        <v/>
      </c>
      <c r="W51" s="125"/>
    </row>
    <row r="52" spans="1:23">
      <c r="A52" s="9"/>
      <c r="B52" s="405">
        <f t="shared" si="0"/>
        <v>45</v>
      </c>
      <c r="C52" s="405" t="s">
        <v>975</v>
      </c>
      <c r="D52" s="406"/>
      <c r="E52" s="406"/>
      <c r="F52" s="407">
        <f t="shared" si="1"/>
        <v>0.99000000000000044</v>
      </c>
      <c r="G52" s="406"/>
      <c r="H52" s="408"/>
      <c r="J52" s="409" t="s">
        <v>270</v>
      </c>
      <c r="L52" s="409" t="s">
        <v>968</v>
      </c>
      <c r="N52" s="409" t="s">
        <v>270</v>
      </c>
      <c r="O52" s="380" t="str">
        <f>""</f>
        <v/>
      </c>
      <c r="P52" s="409" t="str">
        <f>""</f>
        <v/>
      </c>
      <c r="Q52" s="380" t="str">
        <f>""</f>
        <v/>
      </c>
      <c r="R52" s="409" t="str">
        <f>""</f>
        <v/>
      </c>
      <c r="S52" s="380" t="str">
        <f>""</f>
        <v/>
      </c>
      <c r="T52" s="409" t="str">
        <f>""</f>
        <v/>
      </c>
      <c r="U52" s="380"/>
      <c r="V52" s="409" t="str">
        <f>""</f>
        <v/>
      </c>
      <c r="W52" s="125"/>
    </row>
    <row r="53" spans="1:23">
      <c r="A53" s="9"/>
      <c r="B53" s="405">
        <f t="shared" si="0"/>
        <v>46</v>
      </c>
      <c r="C53" s="405" t="s">
        <v>976</v>
      </c>
      <c r="D53" s="406"/>
      <c r="E53" s="406"/>
      <c r="F53" s="407">
        <f t="shared" si="1"/>
        <v>1.0000000000000004</v>
      </c>
      <c r="G53" s="406"/>
      <c r="H53" s="408"/>
      <c r="J53" s="409" t="s">
        <v>270</v>
      </c>
      <c r="L53" s="409" t="s">
        <v>970</v>
      </c>
      <c r="N53" s="409" t="s">
        <v>270</v>
      </c>
      <c r="O53" s="380" t="str">
        <f>""</f>
        <v/>
      </c>
      <c r="P53" s="409" t="str">
        <f>""</f>
        <v/>
      </c>
      <c r="Q53" s="380" t="str">
        <f>""</f>
        <v/>
      </c>
      <c r="R53" s="409" t="str">
        <f>""</f>
        <v/>
      </c>
      <c r="S53" s="380" t="str">
        <f>""</f>
        <v/>
      </c>
      <c r="T53" s="409" t="str">
        <f>""</f>
        <v/>
      </c>
      <c r="U53" s="380"/>
      <c r="V53" s="409" t="str">
        <f>""</f>
        <v/>
      </c>
      <c r="W53" s="125"/>
    </row>
    <row r="54" spans="1:23">
      <c r="A54" s="9"/>
      <c r="B54" s="405">
        <f t="shared" si="0"/>
        <v>47</v>
      </c>
      <c r="C54" s="405" t="s">
        <v>977</v>
      </c>
      <c r="D54" s="406"/>
      <c r="E54" s="406"/>
      <c r="F54" s="407">
        <f t="shared" si="1"/>
        <v>1.0100000000000005</v>
      </c>
      <c r="G54" s="406"/>
      <c r="H54" s="408"/>
      <c r="J54" s="409" t="s">
        <v>274</v>
      </c>
      <c r="L54" s="409" t="s">
        <v>966</v>
      </c>
      <c r="N54" s="409" t="s">
        <v>274</v>
      </c>
      <c r="O54" s="380" t="str">
        <f>""</f>
        <v/>
      </c>
      <c r="P54" s="409" t="str">
        <f>""</f>
        <v/>
      </c>
      <c r="Q54" s="380" t="str">
        <f>""</f>
        <v/>
      </c>
      <c r="R54" s="409" t="str">
        <f>""</f>
        <v/>
      </c>
      <c r="S54" s="380" t="str">
        <f>""</f>
        <v/>
      </c>
      <c r="T54" s="409" t="str">
        <f>""</f>
        <v/>
      </c>
      <c r="U54" s="380"/>
      <c r="V54" s="409" t="str">
        <f>""</f>
        <v/>
      </c>
      <c r="W54" s="125"/>
    </row>
    <row r="55" spans="1:23">
      <c r="A55" s="9"/>
      <c r="B55" s="405">
        <f t="shared" si="0"/>
        <v>48</v>
      </c>
      <c r="C55" s="405" t="s">
        <v>978</v>
      </c>
      <c r="D55" s="406"/>
      <c r="E55" s="406"/>
      <c r="F55" s="407">
        <f t="shared" si="1"/>
        <v>1.0200000000000005</v>
      </c>
      <c r="G55" s="406"/>
      <c r="H55" s="408"/>
      <c r="J55" s="409" t="s">
        <v>274</v>
      </c>
      <c r="L55" s="409" t="s">
        <v>968</v>
      </c>
      <c r="N55" s="409" t="s">
        <v>274</v>
      </c>
      <c r="O55" s="380" t="str">
        <f>""</f>
        <v/>
      </c>
      <c r="P55" s="409" t="str">
        <f>""</f>
        <v/>
      </c>
      <c r="Q55" s="380" t="str">
        <f>""</f>
        <v/>
      </c>
      <c r="R55" s="409" t="str">
        <f>""</f>
        <v/>
      </c>
      <c r="S55" s="380" t="str">
        <f>""</f>
        <v/>
      </c>
      <c r="T55" s="409" t="str">
        <f>""</f>
        <v/>
      </c>
      <c r="U55" s="380"/>
      <c r="V55" s="409" t="str">
        <f>""</f>
        <v/>
      </c>
      <c r="W55" s="125"/>
    </row>
    <row r="56" spans="1:23">
      <c r="A56" s="9"/>
      <c r="B56" s="405">
        <f t="shared" si="0"/>
        <v>49</v>
      </c>
      <c r="C56" s="405" t="s">
        <v>979</v>
      </c>
      <c r="D56" s="406"/>
      <c r="E56" s="406"/>
      <c r="F56" s="407">
        <f t="shared" si="1"/>
        <v>1.0300000000000005</v>
      </c>
      <c r="G56" s="406"/>
      <c r="H56" s="408"/>
      <c r="J56" s="409" t="s">
        <v>274</v>
      </c>
      <c r="L56" s="409" t="s">
        <v>970</v>
      </c>
      <c r="N56" s="409" t="s">
        <v>274</v>
      </c>
      <c r="O56" s="380" t="str">
        <f>""</f>
        <v/>
      </c>
      <c r="P56" s="409" t="str">
        <f>""</f>
        <v/>
      </c>
      <c r="Q56" s="380" t="str">
        <f>""</f>
        <v/>
      </c>
      <c r="R56" s="409" t="str">
        <f>""</f>
        <v/>
      </c>
      <c r="S56" s="380" t="str">
        <f>""</f>
        <v/>
      </c>
      <c r="T56" s="409" t="str">
        <f>""</f>
        <v/>
      </c>
      <c r="U56" s="380"/>
      <c r="V56" s="409" t="str">
        <f>""</f>
        <v/>
      </c>
      <c r="W56" s="125"/>
    </row>
    <row r="57" spans="1:23">
      <c r="A57" s="9"/>
      <c r="B57" s="405">
        <f t="shared" si="0"/>
        <v>50</v>
      </c>
      <c r="C57" s="405" t="s">
        <v>980</v>
      </c>
      <c r="D57" s="406"/>
      <c r="E57" s="406"/>
      <c r="F57" s="407">
        <f t="shared" si="1"/>
        <v>1.0400000000000005</v>
      </c>
      <c r="G57" s="406"/>
      <c r="H57" s="408"/>
      <c r="J57" s="409" t="s">
        <v>252</v>
      </c>
      <c r="L57" s="409" t="s">
        <v>966</v>
      </c>
      <c r="N57" s="409" t="s">
        <v>246</v>
      </c>
      <c r="O57" s="380" t="str">
        <f>""</f>
        <v/>
      </c>
      <c r="P57" s="409" t="str">
        <f>""</f>
        <v/>
      </c>
      <c r="Q57" s="380" t="str">
        <f>""</f>
        <v/>
      </c>
      <c r="R57" s="409" t="str">
        <f>""</f>
        <v/>
      </c>
      <c r="S57" s="380" t="str">
        <f>""</f>
        <v/>
      </c>
      <c r="T57" s="409" t="str">
        <f>""</f>
        <v/>
      </c>
      <c r="U57" s="380"/>
      <c r="V57" s="409" t="str">
        <f>""</f>
        <v/>
      </c>
      <c r="W57" s="125"/>
    </row>
    <row r="58" spans="1:23">
      <c r="A58" s="9"/>
      <c r="B58" s="405">
        <f t="shared" si="0"/>
        <v>51</v>
      </c>
      <c r="C58" s="405" t="s">
        <v>981</v>
      </c>
      <c r="D58" s="406"/>
      <c r="E58" s="406"/>
      <c r="F58" s="407">
        <f t="shared" si="1"/>
        <v>1.0500000000000005</v>
      </c>
      <c r="G58" s="406"/>
      <c r="H58" s="408"/>
      <c r="J58" s="409" t="s">
        <v>252</v>
      </c>
      <c r="L58" s="409" t="s">
        <v>968</v>
      </c>
      <c r="N58" s="409" t="s">
        <v>246</v>
      </c>
      <c r="O58" s="380" t="str">
        <f>""</f>
        <v/>
      </c>
      <c r="P58" s="409" t="str">
        <f>""</f>
        <v/>
      </c>
      <c r="Q58" s="380" t="str">
        <f>""</f>
        <v/>
      </c>
      <c r="R58" s="409" t="str">
        <f>""</f>
        <v/>
      </c>
      <c r="S58" s="380" t="str">
        <f>""</f>
        <v/>
      </c>
      <c r="T58" s="409" t="str">
        <f>""</f>
        <v/>
      </c>
      <c r="U58" s="380"/>
      <c r="V58" s="409" t="str">
        <f>""</f>
        <v/>
      </c>
      <c r="W58" s="125"/>
    </row>
    <row r="59" spans="1:23">
      <c r="A59" s="9"/>
      <c r="B59" s="405">
        <f t="shared" si="0"/>
        <v>52</v>
      </c>
      <c r="C59" s="405" t="s">
        <v>982</v>
      </c>
      <c r="D59" s="406"/>
      <c r="E59" s="406"/>
      <c r="F59" s="407">
        <f t="shared" si="1"/>
        <v>1.0600000000000005</v>
      </c>
      <c r="G59" s="406"/>
      <c r="H59" s="408"/>
      <c r="J59" s="409" t="s">
        <v>252</v>
      </c>
      <c r="L59" s="409" t="s">
        <v>970</v>
      </c>
      <c r="N59" s="409" t="s">
        <v>246</v>
      </c>
      <c r="O59" s="380" t="str">
        <f>""</f>
        <v/>
      </c>
      <c r="P59" s="409" t="str">
        <f>""</f>
        <v/>
      </c>
      <c r="Q59" s="380" t="str">
        <f>""</f>
        <v/>
      </c>
      <c r="R59" s="409" t="str">
        <f>""</f>
        <v/>
      </c>
      <c r="S59" s="380" t="str">
        <f>""</f>
        <v/>
      </c>
      <c r="T59" s="409" t="str">
        <f>""</f>
        <v/>
      </c>
      <c r="U59" s="380"/>
      <c r="V59" s="409" t="str">
        <f>""</f>
        <v/>
      </c>
      <c r="W59" s="125"/>
    </row>
    <row r="60" spans="1:23">
      <c r="A60" s="9"/>
      <c r="B60" s="405">
        <f t="shared" si="0"/>
        <v>53</v>
      </c>
      <c r="C60" s="405" t="s">
        <v>983</v>
      </c>
      <c r="D60" s="406"/>
      <c r="E60" s="406"/>
      <c r="F60" s="407">
        <f t="shared" si="1"/>
        <v>1.0700000000000005</v>
      </c>
      <c r="G60" s="406"/>
      <c r="H60" s="408"/>
      <c r="J60" s="409" t="s">
        <v>254</v>
      </c>
      <c r="L60" s="409" t="s">
        <v>966</v>
      </c>
      <c r="N60" s="409" t="s">
        <v>248</v>
      </c>
      <c r="O60" s="380" t="str">
        <f>""</f>
        <v/>
      </c>
      <c r="P60" s="409" t="str">
        <f>""</f>
        <v/>
      </c>
      <c r="Q60" s="380" t="str">
        <f>""</f>
        <v/>
      </c>
      <c r="R60" s="409" t="str">
        <f>""</f>
        <v/>
      </c>
      <c r="S60" s="380" t="str">
        <f>""</f>
        <v/>
      </c>
      <c r="T60" s="409" t="str">
        <f>""</f>
        <v/>
      </c>
      <c r="U60" s="380"/>
      <c r="V60" s="409" t="str">
        <f>""</f>
        <v/>
      </c>
      <c r="W60" s="125"/>
    </row>
    <row r="61" spans="1:23">
      <c r="A61" s="9"/>
      <c r="B61" s="405">
        <f t="shared" si="0"/>
        <v>54</v>
      </c>
      <c r="C61" s="405" t="s">
        <v>984</v>
      </c>
      <c r="D61" s="406"/>
      <c r="E61" s="406"/>
      <c r="F61" s="407">
        <f t="shared" si="1"/>
        <v>1.0800000000000005</v>
      </c>
      <c r="G61" s="406"/>
      <c r="H61" s="408"/>
      <c r="J61" s="409" t="s">
        <v>254</v>
      </c>
      <c r="L61" s="409" t="s">
        <v>968</v>
      </c>
      <c r="N61" s="409" t="s">
        <v>248</v>
      </c>
      <c r="O61" s="380" t="str">
        <f>""</f>
        <v/>
      </c>
      <c r="P61" s="409" t="str">
        <f>""</f>
        <v/>
      </c>
      <c r="Q61" s="380" t="str">
        <f>""</f>
        <v/>
      </c>
      <c r="R61" s="409" t="str">
        <f>""</f>
        <v/>
      </c>
      <c r="S61" s="380" t="str">
        <f>""</f>
        <v/>
      </c>
      <c r="T61" s="409" t="str">
        <f>""</f>
        <v/>
      </c>
      <c r="U61" s="380"/>
      <c r="V61" s="409" t="str">
        <f>""</f>
        <v/>
      </c>
      <c r="W61" s="125"/>
    </row>
    <row r="62" spans="1:23">
      <c r="A62" s="9"/>
      <c r="B62" s="405">
        <f t="shared" si="0"/>
        <v>55</v>
      </c>
      <c r="C62" s="405" t="s">
        <v>985</v>
      </c>
      <c r="D62" s="406"/>
      <c r="E62" s="406"/>
      <c r="F62" s="407">
        <f t="shared" si="1"/>
        <v>1.0900000000000005</v>
      </c>
      <c r="G62" s="406"/>
      <c r="H62" s="408"/>
      <c r="J62" s="409" t="s">
        <v>254</v>
      </c>
      <c r="L62" s="409" t="s">
        <v>970</v>
      </c>
      <c r="N62" s="409" t="s">
        <v>248</v>
      </c>
      <c r="O62" s="380" t="str">
        <f>""</f>
        <v/>
      </c>
      <c r="P62" s="409" t="str">
        <f>""</f>
        <v/>
      </c>
      <c r="Q62" s="380" t="str">
        <f>""</f>
        <v/>
      </c>
      <c r="R62" s="409" t="str">
        <f>""</f>
        <v/>
      </c>
      <c r="S62" s="380" t="str">
        <f>""</f>
        <v/>
      </c>
      <c r="T62" s="409" t="str">
        <f>""</f>
        <v/>
      </c>
      <c r="U62" s="380"/>
      <c r="V62" s="409" t="str">
        <f>""</f>
        <v/>
      </c>
      <c r="W62" s="125"/>
    </row>
    <row r="63" spans="1:23">
      <c r="A63" s="9"/>
      <c r="B63" s="405">
        <f t="shared" si="0"/>
        <v>56</v>
      </c>
      <c r="C63" s="405" t="s">
        <v>986</v>
      </c>
      <c r="D63" s="406"/>
      <c r="E63" s="406"/>
      <c r="F63" s="407">
        <f t="shared" si="1"/>
        <v>1.1000000000000005</v>
      </c>
      <c r="G63" s="406"/>
      <c r="H63" s="408"/>
      <c r="J63" s="409" t="s">
        <v>264</v>
      </c>
      <c r="L63" s="409" t="s">
        <v>966</v>
      </c>
      <c r="N63" s="409" t="s">
        <v>246</v>
      </c>
      <c r="O63" s="380" t="str">
        <f>""</f>
        <v/>
      </c>
      <c r="P63" s="409" t="str">
        <f>""</f>
        <v/>
      </c>
      <c r="Q63" s="380" t="str">
        <f>""</f>
        <v/>
      </c>
      <c r="R63" s="409" t="str">
        <f>""</f>
        <v/>
      </c>
      <c r="S63" s="380" t="str">
        <f>""</f>
        <v/>
      </c>
      <c r="T63" s="409" t="str">
        <f>""</f>
        <v/>
      </c>
      <c r="U63" s="380"/>
      <c r="V63" s="409" t="str">
        <f>""</f>
        <v/>
      </c>
      <c r="W63" s="125"/>
    </row>
    <row r="64" spans="1:23">
      <c r="A64" s="9"/>
      <c r="B64" s="405">
        <f t="shared" si="0"/>
        <v>57</v>
      </c>
      <c r="C64" s="405" t="s">
        <v>987</v>
      </c>
      <c r="D64" s="406"/>
      <c r="E64" s="406"/>
      <c r="F64" s="407">
        <f t="shared" si="1"/>
        <v>1.1100000000000005</v>
      </c>
      <c r="G64" s="406"/>
      <c r="H64" s="408"/>
      <c r="J64" s="409" t="s">
        <v>264</v>
      </c>
      <c r="L64" s="409" t="s">
        <v>968</v>
      </c>
      <c r="N64" s="409" t="s">
        <v>246</v>
      </c>
      <c r="O64" s="380" t="str">
        <f>""</f>
        <v/>
      </c>
      <c r="P64" s="409" t="str">
        <f>""</f>
        <v/>
      </c>
      <c r="Q64" s="380" t="str">
        <f>""</f>
        <v/>
      </c>
      <c r="R64" s="409" t="str">
        <f>""</f>
        <v/>
      </c>
      <c r="S64" s="380" t="str">
        <f>""</f>
        <v/>
      </c>
      <c r="T64" s="409" t="str">
        <f>""</f>
        <v/>
      </c>
      <c r="U64" s="380"/>
      <c r="V64" s="409" t="str">
        <f>""</f>
        <v/>
      </c>
      <c r="W64" s="125"/>
    </row>
    <row r="65" spans="1:23">
      <c r="A65" s="9"/>
      <c r="B65" s="405">
        <f t="shared" si="0"/>
        <v>58</v>
      </c>
      <c r="C65" s="405" t="s">
        <v>988</v>
      </c>
      <c r="D65" s="406"/>
      <c r="E65" s="406"/>
      <c r="F65" s="407">
        <f t="shared" si="1"/>
        <v>1.1200000000000006</v>
      </c>
      <c r="G65" s="406"/>
      <c r="H65" s="408"/>
      <c r="J65" s="409" t="s">
        <v>264</v>
      </c>
      <c r="L65" s="409" t="s">
        <v>970</v>
      </c>
      <c r="N65" s="409" t="s">
        <v>246</v>
      </c>
      <c r="O65" s="380" t="str">
        <f>""</f>
        <v/>
      </c>
      <c r="P65" s="409" t="str">
        <f>""</f>
        <v/>
      </c>
      <c r="Q65" s="380" t="str">
        <f>""</f>
        <v/>
      </c>
      <c r="R65" s="409" t="str">
        <f>""</f>
        <v/>
      </c>
      <c r="S65" s="380" t="str">
        <f>""</f>
        <v/>
      </c>
      <c r="T65" s="409" t="str">
        <f>""</f>
        <v/>
      </c>
      <c r="U65" s="380"/>
      <c r="V65" s="409" t="str">
        <f>""</f>
        <v/>
      </c>
      <c r="W65" s="125"/>
    </row>
    <row r="66" spans="1:23">
      <c r="A66" s="9"/>
      <c r="B66" s="405">
        <f t="shared" si="0"/>
        <v>59</v>
      </c>
      <c r="C66" s="405" t="s">
        <v>989</v>
      </c>
      <c r="D66" s="406"/>
      <c r="E66" s="406"/>
      <c r="F66" s="407">
        <f t="shared" si="1"/>
        <v>1.1300000000000006</v>
      </c>
      <c r="G66" s="406"/>
      <c r="H66" s="408"/>
      <c r="J66" s="409" t="s">
        <v>266</v>
      </c>
      <c r="L66" s="409" t="s">
        <v>966</v>
      </c>
      <c r="N66" s="409" t="s">
        <v>248</v>
      </c>
      <c r="O66" s="380" t="str">
        <f>""</f>
        <v/>
      </c>
      <c r="P66" s="409" t="str">
        <f>""</f>
        <v/>
      </c>
      <c r="Q66" s="380" t="str">
        <f>""</f>
        <v/>
      </c>
      <c r="R66" s="409" t="str">
        <f>""</f>
        <v/>
      </c>
      <c r="S66" s="380" t="str">
        <f>""</f>
        <v/>
      </c>
      <c r="T66" s="409" t="str">
        <f>""</f>
        <v/>
      </c>
      <c r="U66" s="380"/>
      <c r="V66" s="409" t="str">
        <f>""</f>
        <v/>
      </c>
      <c r="W66" s="125"/>
    </row>
    <row r="67" spans="1:23">
      <c r="A67" s="9"/>
      <c r="B67" s="405">
        <f t="shared" si="0"/>
        <v>60</v>
      </c>
      <c r="C67" s="405" t="s">
        <v>990</v>
      </c>
      <c r="D67" s="406"/>
      <c r="E67" s="406"/>
      <c r="F67" s="407">
        <f t="shared" si="1"/>
        <v>1.1400000000000006</v>
      </c>
      <c r="G67" s="406"/>
      <c r="H67" s="408"/>
      <c r="J67" s="409" t="s">
        <v>266</v>
      </c>
      <c r="L67" s="409" t="s">
        <v>968</v>
      </c>
      <c r="N67" s="409" t="s">
        <v>248</v>
      </c>
      <c r="O67" s="380" t="str">
        <f>""</f>
        <v/>
      </c>
      <c r="P67" s="409" t="str">
        <f>""</f>
        <v/>
      </c>
      <c r="Q67" s="380" t="str">
        <f>""</f>
        <v/>
      </c>
      <c r="R67" s="409" t="str">
        <f>""</f>
        <v/>
      </c>
      <c r="S67" s="380" t="str">
        <f>""</f>
        <v/>
      </c>
      <c r="T67" s="409" t="str">
        <f>""</f>
        <v/>
      </c>
      <c r="U67" s="380"/>
      <c r="V67" s="409" t="str">
        <f>""</f>
        <v/>
      </c>
      <c r="W67" s="125"/>
    </row>
    <row r="68" spans="1:23">
      <c r="A68" s="9"/>
      <c r="B68" s="405">
        <f t="shared" si="0"/>
        <v>61</v>
      </c>
      <c r="C68" s="405" t="s">
        <v>991</v>
      </c>
      <c r="D68" s="406"/>
      <c r="E68" s="406"/>
      <c r="F68" s="407">
        <f t="shared" si="1"/>
        <v>1.1500000000000006</v>
      </c>
      <c r="G68" s="406"/>
      <c r="H68" s="408"/>
      <c r="J68" s="409" t="s">
        <v>266</v>
      </c>
      <c r="L68" s="409" t="s">
        <v>970</v>
      </c>
      <c r="N68" s="409" t="s">
        <v>248</v>
      </c>
      <c r="O68" s="380" t="str">
        <f>""</f>
        <v/>
      </c>
      <c r="P68" s="409" t="str">
        <f>""</f>
        <v/>
      </c>
      <c r="Q68" s="380" t="str">
        <f>""</f>
        <v/>
      </c>
      <c r="R68" s="409" t="str">
        <f>""</f>
        <v/>
      </c>
      <c r="S68" s="380" t="str">
        <f>""</f>
        <v/>
      </c>
      <c r="T68" s="409" t="str">
        <f>""</f>
        <v/>
      </c>
      <c r="U68" s="380"/>
      <c r="V68" s="409" t="str">
        <f>""</f>
        <v/>
      </c>
      <c r="W68" s="125"/>
    </row>
    <row r="69" spans="1:23">
      <c r="A69" s="9"/>
      <c r="B69" s="405">
        <f t="shared" si="0"/>
        <v>62</v>
      </c>
      <c r="C69" s="405" t="s">
        <v>992</v>
      </c>
      <c r="D69" s="406"/>
      <c r="E69" s="406"/>
      <c r="F69" s="407">
        <f t="shared" si="1"/>
        <v>1.1600000000000006</v>
      </c>
      <c r="G69" s="406"/>
      <c r="H69" s="408"/>
      <c r="J69" s="409" t="s">
        <v>258</v>
      </c>
      <c r="L69" s="409" t="s">
        <v>966</v>
      </c>
      <c r="N69" s="409" t="s">
        <v>246</v>
      </c>
      <c r="O69" s="380" t="str">
        <f>""</f>
        <v/>
      </c>
      <c r="P69" s="409" t="str">
        <f>""</f>
        <v/>
      </c>
      <c r="Q69" s="380" t="str">
        <f>""</f>
        <v/>
      </c>
      <c r="R69" s="409" t="str">
        <f>""</f>
        <v/>
      </c>
      <c r="S69" s="380" t="str">
        <f>""</f>
        <v/>
      </c>
      <c r="T69" s="409" t="str">
        <f>""</f>
        <v/>
      </c>
      <c r="U69" s="380"/>
      <c r="V69" s="409" t="str">
        <f>""</f>
        <v/>
      </c>
      <c r="W69" s="125"/>
    </row>
    <row r="70" spans="1:23">
      <c r="A70" s="9"/>
      <c r="B70" s="405">
        <f t="shared" si="0"/>
        <v>63</v>
      </c>
      <c r="C70" s="405" t="s">
        <v>993</v>
      </c>
      <c r="D70" s="406"/>
      <c r="E70" s="406"/>
      <c r="F70" s="407">
        <f t="shared" si="1"/>
        <v>1.1700000000000006</v>
      </c>
      <c r="G70" s="406"/>
      <c r="H70" s="408"/>
      <c r="J70" s="409" t="s">
        <v>258</v>
      </c>
      <c r="L70" s="409" t="s">
        <v>968</v>
      </c>
      <c r="N70" s="409" t="s">
        <v>246</v>
      </c>
      <c r="O70" s="380" t="str">
        <f>""</f>
        <v/>
      </c>
      <c r="P70" s="409" t="str">
        <f>""</f>
        <v/>
      </c>
      <c r="Q70" s="380" t="str">
        <f>""</f>
        <v/>
      </c>
      <c r="R70" s="409" t="str">
        <f>""</f>
        <v/>
      </c>
      <c r="S70" s="380" t="str">
        <f>""</f>
        <v/>
      </c>
      <c r="T70" s="409" t="str">
        <f>""</f>
        <v/>
      </c>
      <c r="U70" s="380"/>
      <c r="V70" s="409" t="str">
        <f>""</f>
        <v/>
      </c>
      <c r="W70" s="125"/>
    </row>
    <row r="71" spans="1:23">
      <c r="A71" s="9"/>
      <c r="B71" s="405">
        <f t="shared" si="0"/>
        <v>64</v>
      </c>
      <c r="C71" s="405" t="s">
        <v>994</v>
      </c>
      <c r="D71" s="406"/>
      <c r="E71" s="406"/>
      <c r="F71" s="407">
        <f t="shared" si="1"/>
        <v>1.1800000000000006</v>
      </c>
      <c r="G71" s="406"/>
      <c r="H71" s="408"/>
      <c r="J71" s="409" t="s">
        <v>258</v>
      </c>
      <c r="L71" s="409" t="s">
        <v>970</v>
      </c>
      <c r="N71" s="409" t="s">
        <v>246</v>
      </c>
      <c r="O71" s="380" t="str">
        <f>""</f>
        <v/>
      </c>
      <c r="P71" s="409" t="str">
        <f>""</f>
        <v/>
      </c>
      <c r="Q71" s="380" t="str">
        <f>""</f>
        <v/>
      </c>
      <c r="R71" s="409" t="str">
        <f>""</f>
        <v/>
      </c>
      <c r="S71" s="380" t="str">
        <f>""</f>
        <v/>
      </c>
      <c r="T71" s="409" t="str">
        <f>""</f>
        <v/>
      </c>
      <c r="U71" s="380"/>
      <c r="V71" s="409" t="str">
        <f>""</f>
        <v/>
      </c>
      <c r="W71" s="125"/>
    </row>
    <row r="72" spans="1:23">
      <c r="A72" s="9"/>
      <c r="B72" s="405">
        <f t="shared" si="0"/>
        <v>65</v>
      </c>
      <c r="C72" s="405" t="s">
        <v>995</v>
      </c>
      <c r="D72" s="406"/>
      <c r="E72" s="406"/>
      <c r="F72" s="407">
        <f t="shared" si="1"/>
        <v>1.1900000000000006</v>
      </c>
      <c r="G72" s="406"/>
      <c r="H72" s="408"/>
      <c r="J72" s="409" t="s">
        <v>260</v>
      </c>
      <c r="L72" s="409" t="s">
        <v>966</v>
      </c>
      <c r="N72" s="409" t="s">
        <v>248</v>
      </c>
      <c r="O72" s="380" t="str">
        <f>""</f>
        <v/>
      </c>
      <c r="P72" s="409" t="str">
        <f>""</f>
        <v/>
      </c>
      <c r="Q72" s="380" t="str">
        <f>""</f>
        <v/>
      </c>
      <c r="R72" s="409" t="str">
        <f>""</f>
        <v/>
      </c>
      <c r="S72" s="380" t="str">
        <f>""</f>
        <v/>
      </c>
      <c r="T72" s="409" t="str">
        <f>""</f>
        <v/>
      </c>
      <c r="U72" s="380"/>
      <c r="V72" s="409" t="str">
        <f>""</f>
        <v/>
      </c>
      <c r="W72" s="125"/>
    </row>
    <row r="73" spans="1:23">
      <c r="A73" s="9"/>
      <c r="B73" s="405">
        <f t="shared" ref="B73:B136" si="2">B72+1</f>
        <v>66</v>
      </c>
      <c r="C73" s="405" t="s">
        <v>996</v>
      </c>
      <c r="D73" s="406"/>
      <c r="E73" s="406"/>
      <c r="F73" s="407">
        <f t="shared" ref="F73:F136" si="3">F72+0.01</f>
        <v>1.2000000000000006</v>
      </c>
      <c r="G73" s="406"/>
      <c r="H73" s="408"/>
      <c r="J73" s="409" t="s">
        <v>260</v>
      </c>
      <c r="L73" s="409" t="s">
        <v>968</v>
      </c>
      <c r="N73" s="409" t="s">
        <v>248</v>
      </c>
      <c r="O73" s="380" t="str">
        <f>""</f>
        <v/>
      </c>
      <c r="P73" s="409" t="str">
        <f>""</f>
        <v/>
      </c>
      <c r="Q73" s="380" t="str">
        <f>""</f>
        <v/>
      </c>
      <c r="R73" s="409" t="str">
        <f>""</f>
        <v/>
      </c>
      <c r="S73" s="380" t="str">
        <f>""</f>
        <v/>
      </c>
      <c r="T73" s="409" t="str">
        <f>""</f>
        <v/>
      </c>
      <c r="U73" s="380"/>
      <c r="V73" s="409" t="str">
        <f>""</f>
        <v/>
      </c>
      <c r="W73" s="125"/>
    </row>
    <row r="74" spans="1:23">
      <c r="A74" s="9"/>
      <c r="B74" s="405">
        <f t="shared" si="2"/>
        <v>67</v>
      </c>
      <c r="C74" s="405" t="s">
        <v>997</v>
      </c>
      <c r="D74" s="406"/>
      <c r="E74" s="406"/>
      <c r="F74" s="407">
        <f t="shared" si="3"/>
        <v>1.2100000000000006</v>
      </c>
      <c r="G74" s="406"/>
      <c r="H74" s="408"/>
      <c r="J74" s="409" t="s">
        <v>260</v>
      </c>
      <c r="L74" s="409" t="s">
        <v>970</v>
      </c>
      <c r="N74" s="409" t="s">
        <v>248</v>
      </c>
      <c r="O74" s="380" t="str">
        <f>""</f>
        <v/>
      </c>
      <c r="P74" s="409" t="str">
        <f>""</f>
        <v/>
      </c>
      <c r="Q74" s="380" t="str">
        <f>""</f>
        <v/>
      </c>
      <c r="R74" s="409" t="str">
        <f>""</f>
        <v/>
      </c>
      <c r="S74" s="380" t="str">
        <f>""</f>
        <v/>
      </c>
      <c r="T74" s="409" t="str">
        <f>""</f>
        <v/>
      </c>
      <c r="U74" s="380"/>
      <c r="V74" s="409" t="str">
        <f>""</f>
        <v/>
      </c>
      <c r="W74" s="125"/>
    </row>
    <row r="75" spans="1:23">
      <c r="A75" s="9"/>
      <c r="B75" s="405">
        <f t="shared" si="2"/>
        <v>68</v>
      </c>
      <c r="C75" s="405" t="s">
        <v>998</v>
      </c>
      <c r="D75" s="406"/>
      <c r="E75" s="406"/>
      <c r="F75" s="407">
        <f t="shared" si="3"/>
        <v>1.2200000000000006</v>
      </c>
      <c r="G75" s="406"/>
      <c r="H75" s="408"/>
      <c r="J75" s="409" t="s">
        <v>276</v>
      </c>
      <c r="L75" s="409" t="s">
        <v>966</v>
      </c>
      <c r="N75" s="409" t="s">
        <v>248</v>
      </c>
      <c r="O75" s="380" t="str">
        <f>""</f>
        <v/>
      </c>
      <c r="P75" s="409" t="str">
        <f>""</f>
        <v/>
      </c>
      <c r="Q75" s="380" t="str">
        <f>""</f>
        <v/>
      </c>
      <c r="R75" s="409" t="str">
        <f>""</f>
        <v/>
      </c>
      <c r="S75" s="380" t="str">
        <f>""</f>
        <v/>
      </c>
      <c r="T75" s="409" t="str">
        <f>""</f>
        <v/>
      </c>
      <c r="U75" s="380"/>
      <c r="V75" s="409" t="str">
        <f>""</f>
        <v/>
      </c>
      <c r="W75" s="125"/>
    </row>
    <row r="76" spans="1:23">
      <c r="A76" s="9"/>
      <c r="B76" s="405">
        <f t="shared" si="2"/>
        <v>69</v>
      </c>
      <c r="C76" s="405" t="s">
        <v>999</v>
      </c>
      <c r="D76" s="406"/>
      <c r="E76" s="406"/>
      <c r="F76" s="407">
        <f t="shared" si="3"/>
        <v>1.2300000000000006</v>
      </c>
      <c r="G76" s="406"/>
      <c r="H76" s="408"/>
      <c r="J76" s="409" t="s">
        <v>276</v>
      </c>
      <c r="L76" s="409" t="s">
        <v>968</v>
      </c>
      <c r="N76" s="409" t="s">
        <v>248</v>
      </c>
      <c r="O76" s="380" t="str">
        <f>""</f>
        <v/>
      </c>
      <c r="P76" s="409" t="str">
        <f>""</f>
        <v/>
      </c>
      <c r="Q76" s="380" t="str">
        <f>""</f>
        <v/>
      </c>
      <c r="R76" s="409" t="str">
        <f>""</f>
        <v/>
      </c>
      <c r="S76" s="380" t="str">
        <f>""</f>
        <v/>
      </c>
      <c r="T76" s="409" t="str">
        <f>""</f>
        <v/>
      </c>
      <c r="U76" s="380"/>
      <c r="V76" s="409" t="str">
        <f>""</f>
        <v/>
      </c>
      <c r="W76" s="125"/>
    </row>
    <row r="77" spans="1:23">
      <c r="A77" s="9"/>
      <c r="B77" s="405">
        <f t="shared" si="2"/>
        <v>70</v>
      </c>
      <c r="C77" s="405" t="s">
        <v>1000</v>
      </c>
      <c r="D77" s="406"/>
      <c r="E77" s="406"/>
      <c r="F77" s="407">
        <f t="shared" si="3"/>
        <v>1.2400000000000007</v>
      </c>
      <c r="G77" s="406"/>
      <c r="H77" s="408"/>
      <c r="J77" s="409" t="s">
        <v>276</v>
      </c>
      <c r="L77" s="409" t="s">
        <v>970</v>
      </c>
      <c r="N77" s="409" t="s">
        <v>248</v>
      </c>
      <c r="O77" s="380" t="str">
        <f>""</f>
        <v/>
      </c>
      <c r="P77" s="409" t="str">
        <f>""</f>
        <v/>
      </c>
      <c r="Q77" s="380" t="str">
        <f>""</f>
        <v/>
      </c>
      <c r="R77" s="409" t="str">
        <f>""</f>
        <v/>
      </c>
      <c r="S77" s="380" t="str">
        <f>""</f>
        <v/>
      </c>
      <c r="T77" s="409" t="str">
        <f>""</f>
        <v/>
      </c>
      <c r="U77" s="380"/>
      <c r="V77" s="409" t="str">
        <f>""</f>
        <v/>
      </c>
      <c r="W77" s="125"/>
    </row>
    <row r="78" spans="1:23" ht="27">
      <c r="A78" s="9"/>
      <c r="B78" s="405">
        <f t="shared" si="2"/>
        <v>71</v>
      </c>
      <c r="C78" s="405" t="s">
        <v>1001</v>
      </c>
      <c r="D78" s="406"/>
      <c r="E78" s="406"/>
      <c r="F78" s="407">
        <f t="shared" si="3"/>
        <v>1.2500000000000007</v>
      </c>
      <c r="G78" s="406"/>
      <c r="H78" s="408"/>
      <c r="J78" s="409" t="s">
        <v>278</v>
      </c>
      <c r="L78" s="409" t="s">
        <v>966</v>
      </c>
      <c r="N78" s="409" t="s">
        <v>248</v>
      </c>
      <c r="O78" s="380" t="str">
        <f>""</f>
        <v/>
      </c>
      <c r="P78" s="409" t="str">
        <f>""</f>
        <v/>
      </c>
      <c r="Q78" s="380" t="str">
        <f>""</f>
        <v/>
      </c>
      <c r="R78" s="409" t="str">
        <f>""</f>
        <v/>
      </c>
      <c r="S78" s="380" t="str">
        <f>""</f>
        <v/>
      </c>
      <c r="T78" s="409" t="str">
        <f>""</f>
        <v/>
      </c>
      <c r="U78" s="380"/>
      <c r="V78" s="409" t="str">
        <f>""</f>
        <v/>
      </c>
      <c r="W78" s="125"/>
    </row>
    <row r="79" spans="1:23" ht="27">
      <c r="A79" s="9"/>
      <c r="B79" s="405">
        <f t="shared" si="2"/>
        <v>72</v>
      </c>
      <c r="C79" s="405" t="s">
        <v>1002</v>
      </c>
      <c r="D79" s="406"/>
      <c r="E79" s="406"/>
      <c r="F79" s="407">
        <f t="shared" si="3"/>
        <v>1.2600000000000007</v>
      </c>
      <c r="G79" s="406"/>
      <c r="H79" s="408"/>
      <c r="J79" s="409" t="s">
        <v>278</v>
      </c>
      <c r="L79" s="409" t="s">
        <v>968</v>
      </c>
      <c r="N79" s="409" t="s">
        <v>248</v>
      </c>
      <c r="O79" s="380" t="str">
        <f>""</f>
        <v/>
      </c>
      <c r="P79" s="409" t="str">
        <f>""</f>
        <v/>
      </c>
      <c r="Q79" s="380" t="str">
        <f>""</f>
        <v/>
      </c>
      <c r="R79" s="409" t="str">
        <f>""</f>
        <v/>
      </c>
      <c r="S79" s="380" t="str">
        <f>""</f>
        <v/>
      </c>
      <c r="T79" s="409" t="str">
        <f>""</f>
        <v/>
      </c>
      <c r="U79" s="380"/>
      <c r="V79" s="409" t="str">
        <f>""</f>
        <v/>
      </c>
      <c r="W79" s="125"/>
    </row>
    <row r="80" spans="1:23" ht="27">
      <c r="A80" s="9"/>
      <c r="B80" s="405">
        <f t="shared" si="2"/>
        <v>73</v>
      </c>
      <c r="C80" s="405" t="s">
        <v>1003</v>
      </c>
      <c r="D80" s="406"/>
      <c r="E80" s="406"/>
      <c r="F80" s="407">
        <f t="shared" si="3"/>
        <v>1.2700000000000007</v>
      </c>
      <c r="G80" s="406"/>
      <c r="H80" s="408"/>
      <c r="J80" s="409" t="s">
        <v>278</v>
      </c>
      <c r="L80" s="409" t="s">
        <v>970</v>
      </c>
      <c r="N80" s="409" t="s">
        <v>248</v>
      </c>
      <c r="O80" s="380" t="str">
        <f>""</f>
        <v/>
      </c>
      <c r="P80" s="409" t="str">
        <f>""</f>
        <v/>
      </c>
      <c r="Q80" s="380" t="str">
        <f>""</f>
        <v/>
      </c>
      <c r="R80" s="409" t="str">
        <f>""</f>
        <v/>
      </c>
      <c r="S80" s="380" t="str">
        <f>""</f>
        <v/>
      </c>
      <c r="T80" s="409" t="str">
        <f>""</f>
        <v/>
      </c>
      <c r="U80" s="380"/>
      <c r="V80" s="409" t="str">
        <f>""</f>
        <v/>
      </c>
      <c r="W80" s="125"/>
    </row>
    <row r="81" spans="1:23" ht="27">
      <c r="A81" s="9"/>
      <c r="B81" s="405">
        <f t="shared" si="2"/>
        <v>74</v>
      </c>
      <c r="C81" s="405" t="s">
        <v>1004</v>
      </c>
      <c r="D81" s="406"/>
      <c r="E81" s="406"/>
      <c r="F81" s="407">
        <f t="shared" si="3"/>
        <v>1.2800000000000007</v>
      </c>
      <c r="G81" s="406"/>
      <c r="H81" s="408"/>
      <c r="J81" s="409" t="s">
        <v>280</v>
      </c>
      <c r="L81" s="409" t="s">
        <v>966</v>
      </c>
      <c r="N81" s="409" t="s">
        <v>248</v>
      </c>
      <c r="O81" s="380" t="str">
        <f>""</f>
        <v/>
      </c>
      <c r="P81" s="409" t="str">
        <f>""</f>
        <v/>
      </c>
      <c r="Q81" s="380" t="str">
        <f>""</f>
        <v/>
      </c>
      <c r="R81" s="409" t="str">
        <f>""</f>
        <v/>
      </c>
      <c r="S81" s="380" t="str">
        <f>""</f>
        <v/>
      </c>
      <c r="T81" s="409" t="str">
        <f>""</f>
        <v/>
      </c>
      <c r="U81" s="380"/>
      <c r="V81" s="409" t="str">
        <f>""</f>
        <v/>
      </c>
      <c r="W81" s="125"/>
    </row>
    <row r="82" spans="1:23" ht="27">
      <c r="A82" s="9"/>
      <c r="B82" s="405">
        <f t="shared" si="2"/>
        <v>75</v>
      </c>
      <c r="C82" s="405" t="s">
        <v>1005</v>
      </c>
      <c r="D82" s="406"/>
      <c r="E82" s="406"/>
      <c r="F82" s="407">
        <f t="shared" si="3"/>
        <v>1.2900000000000007</v>
      </c>
      <c r="G82" s="406"/>
      <c r="H82" s="408"/>
      <c r="J82" s="409" t="s">
        <v>280</v>
      </c>
      <c r="L82" s="409" t="s">
        <v>968</v>
      </c>
      <c r="N82" s="409" t="s">
        <v>248</v>
      </c>
      <c r="O82" s="380" t="str">
        <f>""</f>
        <v/>
      </c>
      <c r="P82" s="409" t="str">
        <f>""</f>
        <v/>
      </c>
      <c r="Q82" s="380" t="str">
        <f>""</f>
        <v/>
      </c>
      <c r="R82" s="409" t="str">
        <f>""</f>
        <v/>
      </c>
      <c r="S82" s="380" t="str">
        <f>""</f>
        <v/>
      </c>
      <c r="T82" s="409" t="str">
        <f>""</f>
        <v/>
      </c>
      <c r="U82" s="380"/>
      <c r="V82" s="409" t="str">
        <f>""</f>
        <v/>
      </c>
      <c r="W82" s="125"/>
    </row>
    <row r="83" spans="1:23" ht="27">
      <c r="A83" s="9"/>
      <c r="B83" s="405">
        <f t="shared" si="2"/>
        <v>76</v>
      </c>
      <c r="C83" s="405" t="s">
        <v>1006</v>
      </c>
      <c r="D83" s="406"/>
      <c r="E83" s="406"/>
      <c r="F83" s="407">
        <f t="shared" si="3"/>
        <v>1.3000000000000007</v>
      </c>
      <c r="G83" s="406"/>
      <c r="H83" s="408"/>
      <c r="J83" s="409" t="s">
        <v>280</v>
      </c>
      <c r="L83" s="409" t="s">
        <v>970</v>
      </c>
      <c r="N83" s="409" t="s">
        <v>248</v>
      </c>
      <c r="O83" s="380" t="str">
        <f>""</f>
        <v/>
      </c>
      <c r="P83" s="409" t="str">
        <f>""</f>
        <v/>
      </c>
      <c r="Q83" s="380" t="str">
        <f>""</f>
        <v/>
      </c>
      <c r="R83" s="409" t="str">
        <f>""</f>
        <v/>
      </c>
      <c r="S83" s="380" t="str">
        <f>""</f>
        <v/>
      </c>
      <c r="T83" s="409" t="str">
        <f>""</f>
        <v/>
      </c>
      <c r="U83" s="380"/>
      <c r="V83" s="409" t="str">
        <f>""</f>
        <v/>
      </c>
      <c r="W83" s="125"/>
    </row>
    <row r="84" spans="1:23" ht="27">
      <c r="A84" s="9"/>
      <c r="B84" s="405">
        <f t="shared" si="2"/>
        <v>77</v>
      </c>
      <c r="C84" s="405" t="s">
        <v>1007</v>
      </c>
      <c r="D84" s="406"/>
      <c r="E84" s="406"/>
      <c r="F84" s="407">
        <f t="shared" si="3"/>
        <v>1.3100000000000007</v>
      </c>
      <c r="G84" s="406"/>
      <c r="H84" s="408"/>
      <c r="J84" s="409" t="s">
        <v>282</v>
      </c>
      <c r="L84" s="409" t="s">
        <v>966</v>
      </c>
      <c r="N84" s="409" t="s">
        <v>248</v>
      </c>
      <c r="O84" s="380" t="str">
        <f>""</f>
        <v/>
      </c>
      <c r="P84" s="409" t="str">
        <f>""</f>
        <v/>
      </c>
      <c r="Q84" s="380" t="str">
        <f>""</f>
        <v/>
      </c>
      <c r="R84" s="409" t="str">
        <f>""</f>
        <v/>
      </c>
      <c r="S84" s="380" t="str">
        <f>""</f>
        <v/>
      </c>
      <c r="T84" s="409" t="str">
        <f>""</f>
        <v/>
      </c>
      <c r="U84" s="380"/>
      <c r="V84" s="409" t="str">
        <f>""</f>
        <v/>
      </c>
      <c r="W84" s="125"/>
    </row>
    <row r="85" spans="1:23" ht="27">
      <c r="A85" s="9"/>
      <c r="B85" s="405">
        <f t="shared" si="2"/>
        <v>78</v>
      </c>
      <c r="C85" s="405" t="s">
        <v>1008</v>
      </c>
      <c r="D85" s="406"/>
      <c r="E85" s="406"/>
      <c r="F85" s="407">
        <f t="shared" si="3"/>
        <v>1.3200000000000007</v>
      </c>
      <c r="G85" s="406"/>
      <c r="H85" s="408"/>
      <c r="J85" s="409" t="s">
        <v>282</v>
      </c>
      <c r="L85" s="409" t="s">
        <v>968</v>
      </c>
      <c r="N85" s="409" t="s">
        <v>248</v>
      </c>
      <c r="O85" s="380" t="str">
        <f>""</f>
        <v/>
      </c>
      <c r="P85" s="409" t="str">
        <f>""</f>
        <v/>
      </c>
      <c r="Q85" s="380" t="str">
        <f>""</f>
        <v/>
      </c>
      <c r="R85" s="409" t="str">
        <f>""</f>
        <v/>
      </c>
      <c r="S85" s="380" t="str">
        <f>""</f>
        <v/>
      </c>
      <c r="T85" s="409" t="str">
        <f>""</f>
        <v/>
      </c>
      <c r="U85" s="380"/>
      <c r="V85" s="409" t="str">
        <f>""</f>
        <v/>
      </c>
      <c r="W85" s="125"/>
    </row>
    <row r="86" spans="1:23" ht="27">
      <c r="A86" s="9"/>
      <c r="B86" s="405">
        <f t="shared" si="2"/>
        <v>79</v>
      </c>
      <c r="C86" s="405" t="s">
        <v>1009</v>
      </c>
      <c r="D86" s="406"/>
      <c r="E86" s="406"/>
      <c r="F86" s="407">
        <f t="shared" si="3"/>
        <v>1.3300000000000007</v>
      </c>
      <c r="G86" s="406"/>
      <c r="H86" s="408"/>
      <c r="J86" s="409" t="s">
        <v>282</v>
      </c>
      <c r="L86" s="409" t="s">
        <v>970</v>
      </c>
      <c r="N86" s="409" t="s">
        <v>248</v>
      </c>
      <c r="O86" s="380" t="str">
        <f>""</f>
        <v/>
      </c>
      <c r="P86" s="409" t="str">
        <f>""</f>
        <v/>
      </c>
      <c r="Q86" s="380" t="str">
        <f>""</f>
        <v/>
      </c>
      <c r="R86" s="409" t="str">
        <f>""</f>
        <v/>
      </c>
      <c r="S86" s="380" t="str">
        <f>""</f>
        <v/>
      </c>
      <c r="T86" s="409" t="str">
        <f>""</f>
        <v/>
      </c>
      <c r="U86" s="380"/>
      <c r="V86" s="409" t="str">
        <f>""</f>
        <v/>
      </c>
      <c r="W86" s="125"/>
    </row>
    <row r="87" spans="1:23">
      <c r="A87" s="9"/>
      <c r="B87" s="405">
        <f t="shared" si="2"/>
        <v>80</v>
      </c>
      <c r="C87" s="405" t="s">
        <v>1010</v>
      </c>
      <c r="D87" s="406"/>
      <c r="E87" s="406"/>
      <c r="F87" s="407">
        <f t="shared" si="3"/>
        <v>1.3400000000000007</v>
      </c>
      <c r="G87" s="406"/>
      <c r="H87" s="408"/>
      <c r="J87" s="409" t="s">
        <v>284</v>
      </c>
      <c r="L87" s="409" t="s">
        <v>966</v>
      </c>
      <c r="N87" s="409" t="s">
        <v>248</v>
      </c>
      <c r="O87" s="380" t="str">
        <f>""</f>
        <v/>
      </c>
      <c r="P87" s="409" t="str">
        <f>""</f>
        <v/>
      </c>
      <c r="Q87" s="380" t="str">
        <f>""</f>
        <v/>
      </c>
      <c r="R87" s="409" t="str">
        <f>""</f>
        <v/>
      </c>
      <c r="S87" s="380" t="str">
        <f>""</f>
        <v/>
      </c>
      <c r="T87" s="409" t="str">
        <f>""</f>
        <v/>
      </c>
      <c r="U87" s="380"/>
      <c r="V87" s="409" t="str">
        <f>""</f>
        <v/>
      </c>
      <c r="W87" s="125"/>
    </row>
    <row r="88" spans="1:23">
      <c r="A88" s="9"/>
      <c r="B88" s="405">
        <f t="shared" si="2"/>
        <v>81</v>
      </c>
      <c r="C88" s="405" t="s">
        <v>1011</v>
      </c>
      <c r="D88" s="406"/>
      <c r="E88" s="406"/>
      <c r="F88" s="407">
        <f t="shared" si="3"/>
        <v>1.3500000000000008</v>
      </c>
      <c r="G88" s="406"/>
      <c r="H88" s="408"/>
      <c r="J88" s="409" t="s">
        <v>284</v>
      </c>
      <c r="L88" s="409" t="s">
        <v>968</v>
      </c>
      <c r="N88" s="409" t="s">
        <v>248</v>
      </c>
      <c r="O88" s="380" t="str">
        <f>""</f>
        <v/>
      </c>
      <c r="P88" s="409" t="str">
        <f>""</f>
        <v/>
      </c>
      <c r="Q88" s="380" t="str">
        <f>""</f>
        <v/>
      </c>
      <c r="R88" s="409" t="str">
        <f>""</f>
        <v/>
      </c>
      <c r="S88" s="380" t="str">
        <f>""</f>
        <v/>
      </c>
      <c r="T88" s="409" t="str">
        <f>""</f>
        <v/>
      </c>
      <c r="U88" s="380"/>
      <c r="V88" s="409" t="str">
        <f>""</f>
        <v/>
      </c>
      <c r="W88" s="125"/>
    </row>
    <row r="89" spans="1:23">
      <c r="A89" s="9"/>
      <c r="B89" s="405">
        <f t="shared" si="2"/>
        <v>82</v>
      </c>
      <c r="C89" s="405" t="s">
        <v>1012</v>
      </c>
      <c r="D89" s="406"/>
      <c r="E89" s="406"/>
      <c r="F89" s="407">
        <f t="shared" si="3"/>
        <v>1.3600000000000008</v>
      </c>
      <c r="G89" s="406"/>
      <c r="H89" s="408"/>
      <c r="J89" s="409" t="s">
        <v>284</v>
      </c>
      <c r="L89" s="409" t="s">
        <v>970</v>
      </c>
      <c r="N89" s="409" t="s">
        <v>248</v>
      </c>
      <c r="O89" s="380" t="str">
        <f>""</f>
        <v/>
      </c>
      <c r="P89" s="409" t="str">
        <f>""</f>
        <v/>
      </c>
      <c r="Q89" s="380" t="str">
        <f>""</f>
        <v/>
      </c>
      <c r="R89" s="409" t="str">
        <f>""</f>
        <v/>
      </c>
      <c r="S89" s="380" t="str">
        <f>""</f>
        <v/>
      </c>
      <c r="T89" s="409" t="str">
        <f>""</f>
        <v/>
      </c>
      <c r="U89" s="380"/>
      <c r="V89" s="409" t="str">
        <f>""</f>
        <v/>
      </c>
      <c r="W89" s="125"/>
    </row>
    <row r="90" spans="1:23" ht="27">
      <c r="A90" s="9"/>
      <c r="B90" s="405">
        <f t="shared" si="2"/>
        <v>83</v>
      </c>
      <c r="C90" s="405" t="s">
        <v>1013</v>
      </c>
      <c r="D90" s="406"/>
      <c r="E90" s="406"/>
      <c r="F90" s="407">
        <f t="shared" si="3"/>
        <v>1.3700000000000008</v>
      </c>
      <c r="G90" s="406"/>
      <c r="H90" s="408"/>
      <c r="J90" s="409" t="s">
        <v>286</v>
      </c>
      <c r="L90" s="409" t="s">
        <v>966</v>
      </c>
      <c r="N90" s="409" t="s">
        <v>248</v>
      </c>
      <c r="O90" s="380" t="str">
        <f>""</f>
        <v/>
      </c>
      <c r="P90" s="409" t="str">
        <f>""</f>
        <v/>
      </c>
      <c r="Q90" s="380" t="str">
        <f>""</f>
        <v/>
      </c>
      <c r="R90" s="409" t="str">
        <f>""</f>
        <v/>
      </c>
      <c r="S90" s="380" t="str">
        <f>""</f>
        <v/>
      </c>
      <c r="T90" s="409" t="str">
        <f>""</f>
        <v/>
      </c>
      <c r="U90" s="380"/>
      <c r="V90" s="409" t="str">
        <f>""</f>
        <v/>
      </c>
      <c r="W90" s="125"/>
    </row>
    <row r="91" spans="1:23" ht="27">
      <c r="A91" s="9"/>
      <c r="B91" s="405">
        <f t="shared" si="2"/>
        <v>84</v>
      </c>
      <c r="C91" s="405" t="s">
        <v>1014</v>
      </c>
      <c r="D91" s="406"/>
      <c r="E91" s="406"/>
      <c r="F91" s="407">
        <f t="shared" si="3"/>
        <v>1.3800000000000008</v>
      </c>
      <c r="G91" s="406"/>
      <c r="H91" s="408"/>
      <c r="J91" s="409" t="s">
        <v>286</v>
      </c>
      <c r="L91" s="409" t="s">
        <v>968</v>
      </c>
      <c r="N91" s="409" t="s">
        <v>248</v>
      </c>
      <c r="O91" s="380" t="str">
        <f>""</f>
        <v/>
      </c>
      <c r="P91" s="409" t="str">
        <f>""</f>
        <v/>
      </c>
      <c r="Q91" s="380" t="str">
        <f>""</f>
        <v/>
      </c>
      <c r="R91" s="409" t="str">
        <f>""</f>
        <v/>
      </c>
      <c r="S91" s="380" t="str">
        <f>""</f>
        <v/>
      </c>
      <c r="T91" s="409" t="str">
        <f>""</f>
        <v/>
      </c>
      <c r="U91" s="380"/>
      <c r="V91" s="409" t="str">
        <f>""</f>
        <v/>
      </c>
      <c r="W91" s="125"/>
    </row>
    <row r="92" spans="1:23" ht="27">
      <c r="A92" s="9"/>
      <c r="B92" s="405">
        <f t="shared" si="2"/>
        <v>85</v>
      </c>
      <c r="C92" s="405" t="s">
        <v>1015</v>
      </c>
      <c r="D92" s="406"/>
      <c r="E92" s="406"/>
      <c r="F92" s="407">
        <f t="shared" si="3"/>
        <v>1.3900000000000008</v>
      </c>
      <c r="G92" s="406"/>
      <c r="H92" s="408"/>
      <c r="J92" s="409" t="s">
        <v>286</v>
      </c>
      <c r="L92" s="409" t="s">
        <v>970</v>
      </c>
      <c r="N92" s="409" t="s">
        <v>248</v>
      </c>
      <c r="O92" s="380" t="str">
        <f>""</f>
        <v/>
      </c>
      <c r="P92" s="409" t="str">
        <f>""</f>
        <v/>
      </c>
      <c r="Q92" s="380" t="str">
        <f>""</f>
        <v/>
      </c>
      <c r="R92" s="409" t="str">
        <f>""</f>
        <v/>
      </c>
      <c r="S92" s="380" t="str">
        <f>""</f>
        <v/>
      </c>
      <c r="T92" s="409" t="str">
        <f>""</f>
        <v/>
      </c>
      <c r="U92" s="380"/>
      <c r="V92" s="409" t="str">
        <f>""</f>
        <v/>
      </c>
      <c r="W92" s="125"/>
    </row>
    <row r="93" spans="1:23">
      <c r="A93" s="9"/>
      <c r="B93" s="405">
        <f t="shared" si="2"/>
        <v>86</v>
      </c>
      <c r="C93" s="405" t="s">
        <v>1016</v>
      </c>
      <c r="D93" s="406"/>
      <c r="E93" s="406"/>
      <c r="F93" s="407">
        <f t="shared" si="3"/>
        <v>1.4000000000000008</v>
      </c>
      <c r="G93" s="406"/>
      <c r="H93" s="408"/>
      <c r="J93" s="409" t="s">
        <v>288</v>
      </c>
      <c r="L93" s="409" t="s">
        <v>966</v>
      </c>
      <c r="N93" s="409" t="s">
        <v>248</v>
      </c>
      <c r="O93" s="380" t="str">
        <f>""</f>
        <v/>
      </c>
      <c r="P93" s="409" t="str">
        <f>""</f>
        <v/>
      </c>
      <c r="Q93" s="380" t="str">
        <f>""</f>
        <v/>
      </c>
      <c r="R93" s="409" t="str">
        <f>""</f>
        <v/>
      </c>
      <c r="S93" s="380" t="str">
        <f>""</f>
        <v/>
      </c>
      <c r="T93" s="409" t="str">
        <f>""</f>
        <v/>
      </c>
      <c r="U93" s="380"/>
      <c r="V93" s="409" t="str">
        <f>""</f>
        <v/>
      </c>
      <c r="W93" s="125"/>
    </row>
    <row r="94" spans="1:23">
      <c r="A94" s="9"/>
      <c r="B94" s="405">
        <f t="shared" si="2"/>
        <v>87</v>
      </c>
      <c r="C94" s="405" t="s">
        <v>1017</v>
      </c>
      <c r="D94" s="406"/>
      <c r="E94" s="406"/>
      <c r="F94" s="407">
        <f t="shared" si="3"/>
        <v>1.4100000000000008</v>
      </c>
      <c r="G94" s="406"/>
      <c r="H94" s="408"/>
      <c r="J94" s="409" t="s">
        <v>288</v>
      </c>
      <c r="L94" s="409" t="s">
        <v>968</v>
      </c>
      <c r="N94" s="409" t="s">
        <v>248</v>
      </c>
      <c r="O94" s="380" t="str">
        <f>""</f>
        <v/>
      </c>
      <c r="P94" s="409" t="str">
        <f>""</f>
        <v/>
      </c>
      <c r="Q94" s="380" t="str">
        <f>""</f>
        <v/>
      </c>
      <c r="R94" s="409" t="str">
        <f>""</f>
        <v/>
      </c>
      <c r="S94" s="380" t="str">
        <f>""</f>
        <v/>
      </c>
      <c r="T94" s="409" t="str">
        <f>""</f>
        <v/>
      </c>
      <c r="U94" s="380"/>
      <c r="V94" s="409" t="str">
        <f>""</f>
        <v/>
      </c>
      <c r="W94" s="125"/>
    </row>
    <row r="95" spans="1:23">
      <c r="A95" s="9"/>
      <c r="B95" s="405">
        <f t="shared" si="2"/>
        <v>88</v>
      </c>
      <c r="C95" s="405" t="s">
        <v>1018</v>
      </c>
      <c r="D95" s="406"/>
      <c r="E95" s="406"/>
      <c r="F95" s="407">
        <f t="shared" si="3"/>
        <v>1.4200000000000008</v>
      </c>
      <c r="G95" s="406"/>
      <c r="H95" s="408"/>
      <c r="J95" s="409" t="s">
        <v>288</v>
      </c>
      <c r="L95" s="409" t="s">
        <v>970</v>
      </c>
      <c r="N95" s="409" t="s">
        <v>248</v>
      </c>
      <c r="O95" s="380" t="str">
        <f>""</f>
        <v/>
      </c>
      <c r="P95" s="409" t="str">
        <f>""</f>
        <v/>
      </c>
      <c r="Q95" s="380" t="str">
        <f>""</f>
        <v/>
      </c>
      <c r="R95" s="409" t="str">
        <f>""</f>
        <v/>
      </c>
      <c r="S95" s="380" t="str">
        <f>""</f>
        <v/>
      </c>
      <c r="T95" s="409" t="str">
        <f>""</f>
        <v/>
      </c>
      <c r="U95" s="380"/>
      <c r="V95" s="409" t="str">
        <f>""</f>
        <v/>
      </c>
      <c r="W95" s="125"/>
    </row>
    <row r="96" spans="1:23" ht="27">
      <c r="A96" s="9"/>
      <c r="B96" s="405">
        <f t="shared" si="2"/>
        <v>89</v>
      </c>
      <c r="C96" s="405" t="s">
        <v>1019</v>
      </c>
      <c r="D96" s="406"/>
      <c r="E96" s="406"/>
      <c r="F96" s="407">
        <f t="shared" si="3"/>
        <v>1.4300000000000008</v>
      </c>
      <c r="G96" s="406"/>
      <c r="H96" s="408"/>
      <c r="J96" s="409" t="s">
        <v>290</v>
      </c>
      <c r="L96" s="409" t="s">
        <v>966</v>
      </c>
      <c r="N96" s="409" t="s">
        <v>248</v>
      </c>
      <c r="O96" s="380" t="str">
        <f>""</f>
        <v/>
      </c>
      <c r="P96" s="409" t="str">
        <f>""</f>
        <v/>
      </c>
      <c r="Q96" s="380" t="str">
        <f>""</f>
        <v/>
      </c>
      <c r="R96" s="409" t="str">
        <f>""</f>
        <v/>
      </c>
      <c r="S96" s="380" t="str">
        <f>""</f>
        <v/>
      </c>
      <c r="T96" s="409" t="str">
        <f>""</f>
        <v/>
      </c>
      <c r="U96" s="380"/>
      <c r="V96" s="409" t="str">
        <f>""</f>
        <v/>
      </c>
      <c r="W96" s="125"/>
    </row>
    <row r="97" spans="1:23" ht="27">
      <c r="A97" s="9"/>
      <c r="B97" s="405">
        <f t="shared" si="2"/>
        <v>90</v>
      </c>
      <c r="C97" s="405" t="s">
        <v>1020</v>
      </c>
      <c r="D97" s="406"/>
      <c r="E97" s="406"/>
      <c r="F97" s="407">
        <f t="shared" si="3"/>
        <v>1.4400000000000008</v>
      </c>
      <c r="G97" s="406"/>
      <c r="H97" s="408"/>
      <c r="J97" s="409" t="s">
        <v>290</v>
      </c>
      <c r="L97" s="409" t="s">
        <v>968</v>
      </c>
      <c r="N97" s="409" t="s">
        <v>248</v>
      </c>
      <c r="O97" s="380" t="str">
        <f>""</f>
        <v/>
      </c>
      <c r="P97" s="409" t="str">
        <f>""</f>
        <v/>
      </c>
      <c r="Q97" s="380" t="str">
        <f>""</f>
        <v/>
      </c>
      <c r="R97" s="409" t="str">
        <f>""</f>
        <v/>
      </c>
      <c r="S97" s="380" t="str">
        <f>""</f>
        <v/>
      </c>
      <c r="T97" s="409" t="str">
        <f>""</f>
        <v/>
      </c>
      <c r="U97" s="380"/>
      <c r="V97" s="409" t="str">
        <f>""</f>
        <v/>
      </c>
      <c r="W97" s="125"/>
    </row>
    <row r="98" spans="1:23" ht="27">
      <c r="A98" s="9"/>
      <c r="B98" s="405">
        <f t="shared" si="2"/>
        <v>91</v>
      </c>
      <c r="C98" s="405" t="s">
        <v>1021</v>
      </c>
      <c r="D98" s="406"/>
      <c r="E98" s="406"/>
      <c r="F98" s="407">
        <f t="shared" si="3"/>
        <v>1.4500000000000008</v>
      </c>
      <c r="G98" s="406"/>
      <c r="H98" s="408"/>
      <c r="J98" s="409" t="s">
        <v>290</v>
      </c>
      <c r="L98" s="409" t="s">
        <v>970</v>
      </c>
      <c r="N98" s="409" t="s">
        <v>248</v>
      </c>
      <c r="O98" s="380" t="str">
        <f>""</f>
        <v/>
      </c>
      <c r="P98" s="409" t="str">
        <f>""</f>
        <v/>
      </c>
      <c r="Q98" s="380" t="str">
        <f>""</f>
        <v/>
      </c>
      <c r="R98" s="409" t="str">
        <f>""</f>
        <v/>
      </c>
      <c r="S98" s="380" t="str">
        <f>""</f>
        <v/>
      </c>
      <c r="T98" s="409" t="str">
        <f>""</f>
        <v/>
      </c>
      <c r="U98" s="380"/>
      <c r="V98" s="409" t="str">
        <f>""</f>
        <v/>
      </c>
      <c r="W98" s="125"/>
    </row>
    <row r="99" spans="1:23" ht="27">
      <c r="A99" s="9"/>
      <c r="B99" s="405">
        <f t="shared" si="2"/>
        <v>92</v>
      </c>
      <c r="C99" s="405" t="s">
        <v>1022</v>
      </c>
      <c r="D99" s="406"/>
      <c r="E99" s="406"/>
      <c r="F99" s="407">
        <f t="shared" si="3"/>
        <v>1.4600000000000009</v>
      </c>
      <c r="G99" s="406"/>
      <c r="H99" s="408"/>
      <c r="J99" s="409" t="s">
        <v>292</v>
      </c>
      <c r="L99" s="409" t="s">
        <v>966</v>
      </c>
      <c r="N99" s="409" t="s">
        <v>248</v>
      </c>
      <c r="O99" s="380" t="str">
        <f>""</f>
        <v/>
      </c>
      <c r="P99" s="409" t="str">
        <f>""</f>
        <v/>
      </c>
      <c r="Q99" s="380" t="str">
        <f>""</f>
        <v/>
      </c>
      <c r="R99" s="409" t="str">
        <f>""</f>
        <v/>
      </c>
      <c r="S99" s="380" t="str">
        <f>""</f>
        <v/>
      </c>
      <c r="T99" s="409" t="str">
        <f>""</f>
        <v/>
      </c>
      <c r="U99" s="380"/>
      <c r="V99" s="409" t="str">
        <f>""</f>
        <v/>
      </c>
      <c r="W99" s="125"/>
    </row>
    <row r="100" spans="1:23" ht="27">
      <c r="A100" s="9"/>
      <c r="B100" s="405">
        <f t="shared" si="2"/>
        <v>93</v>
      </c>
      <c r="C100" s="405" t="s">
        <v>1023</v>
      </c>
      <c r="D100" s="406"/>
      <c r="E100" s="406"/>
      <c r="F100" s="407">
        <f t="shared" si="3"/>
        <v>1.4700000000000009</v>
      </c>
      <c r="G100" s="406"/>
      <c r="H100" s="408"/>
      <c r="J100" s="409" t="s">
        <v>292</v>
      </c>
      <c r="L100" s="409" t="s">
        <v>968</v>
      </c>
      <c r="N100" s="409" t="s">
        <v>248</v>
      </c>
      <c r="O100" s="380" t="str">
        <f>""</f>
        <v/>
      </c>
      <c r="P100" s="409" t="str">
        <f>""</f>
        <v/>
      </c>
      <c r="Q100" s="380" t="str">
        <f>""</f>
        <v/>
      </c>
      <c r="R100" s="409" t="str">
        <f>""</f>
        <v/>
      </c>
      <c r="S100" s="380" t="str">
        <f>""</f>
        <v/>
      </c>
      <c r="T100" s="409" t="str">
        <f>""</f>
        <v/>
      </c>
      <c r="U100" s="380"/>
      <c r="V100" s="409" t="str">
        <f>""</f>
        <v/>
      </c>
      <c r="W100" s="125"/>
    </row>
    <row r="101" spans="1:23" ht="27">
      <c r="A101" s="9"/>
      <c r="B101" s="405">
        <f t="shared" si="2"/>
        <v>94</v>
      </c>
      <c r="C101" s="405" t="s">
        <v>1024</v>
      </c>
      <c r="D101" s="406"/>
      <c r="E101" s="406"/>
      <c r="F101" s="407">
        <f t="shared" si="3"/>
        <v>1.4800000000000009</v>
      </c>
      <c r="G101" s="406"/>
      <c r="H101" s="408"/>
      <c r="J101" s="409" t="s">
        <v>292</v>
      </c>
      <c r="L101" s="409" t="s">
        <v>970</v>
      </c>
      <c r="N101" s="409" t="s">
        <v>248</v>
      </c>
      <c r="O101" s="380" t="str">
        <f>""</f>
        <v/>
      </c>
      <c r="P101" s="409" t="str">
        <f>""</f>
        <v/>
      </c>
      <c r="Q101" s="380" t="str">
        <f>""</f>
        <v/>
      </c>
      <c r="R101" s="409" t="str">
        <f>""</f>
        <v/>
      </c>
      <c r="S101" s="380" t="str">
        <f>""</f>
        <v/>
      </c>
      <c r="T101" s="409" t="str">
        <f>""</f>
        <v/>
      </c>
      <c r="U101" s="380"/>
      <c r="V101" s="409" t="str">
        <f>""</f>
        <v/>
      </c>
      <c r="W101" s="125"/>
    </row>
    <row r="102" spans="1:23">
      <c r="A102" s="9"/>
      <c r="B102" s="405">
        <f t="shared" si="2"/>
        <v>95</v>
      </c>
      <c r="C102" s="405" t="s">
        <v>1025</v>
      </c>
      <c r="D102" s="406"/>
      <c r="E102" s="406"/>
      <c r="F102" s="407">
        <f t="shared" si="3"/>
        <v>1.4900000000000009</v>
      </c>
      <c r="G102" s="406"/>
      <c r="H102" s="408"/>
      <c r="J102" s="409" t="s">
        <v>294</v>
      </c>
      <c r="L102" s="409" t="s">
        <v>966</v>
      </c>
      <c r="N102" s="409" t="s">
        <v>248</v>
      </c>
      <c r="O102" s="380" t="str">
        <f>""</f>
        <v/>
      </c>
      <c r="P102" s="409" t="str">
        <f>""</f>
        <v/>
      </c>
      <c r="Q102" s="380" t="str">
        <f>""</f>
        <v/>
      </c>
      <c r="R102" s="409" t="str">
        <f>""</f>
        <v/>
      </c>
      <c r="S102" s="380" t="str">
        <f>""</f>
        <v/>
      </c>
      <c r="T102" s="409" t="str">
        <f>""</f>
        <v/>
      </c>
      <c r="U102" s="380"/>
      <c r="V102" s="409" t="str">
        <f>""</f>
        <v/>
      </c>
      <c r="W102" s="125"/>
    </row>
    <row r="103" spans="1:23">
      <c r="A103" s="9"/>
      <c r="B103" s="405">
        <f t="shared" si="2"/>
        <v>96</v>
      </c>
      <c r="C103" s="405" t="s">
        <v>1026</v>
      </c>
      <c r="D103" s="406"/>
      <c r="E103" s="406"/>
      <c r="F103" s="407">
        <f t="shared" si="3"/>
        <v>1.5000000000000009</v>
      </c>
      <c r="G103" s="406"/>
      <c r="H103" s="408"/>
      <c r="J103" s="409" t="s">
        <v>294</v>
      </c>
      <c r="L103" s="409" t="s">
        <v>968</v>
      </c>
      <c r="N103" s="409" t="s">
        <v>248</v>
      </c>
      <c r="O103" s="380" t="str">
        <f>""</f>
        <v/>
      </c>
      <c r="P103" s="409" t="str">
        <f>""</f>
        <v/>
      </c>
      <c r="Q103" s="380" t="str">
        <f>""</f>
        <v/>
      </c>
      <c r="R103" s="409" t="str">
        <f>""</f>
        <v/>
      </c>
      <c r="S103" s="380" t="str">
        <f>""</f>
        <v/>
      </c>
      <c r="T103" s="409" t="str">
        <f>""</f>
        <v/>
      </c>
      <c r="U103" s="380"/>
      <c r="V103" s="409" t="str">
        <f>""</f>
        <v/>
      </c>
      <c r="W103" s="125"/>
    </row>
    <row r="104" spans="1:23">
      <c r="A104" s="9"/>
      <c r="B104" s="405">
        <f t="shared" si="2"/>
        <v>97</v>
      </c>
      <c r="C104" s="405" t="s">
        <v>1027</v>
      </c>
      <c r="D104" s="406"/>
      <c r="E104" s="406"/>
      <c r="F104" s="407">
        <f t="shared" si="3"/>
        <v>1.5100000000000009</v>
      </c>
      <c r="G104" s="406"/>
      <c r="H104" s="408"/>
      <c r="J104" s="409" t="s">
        <v>294</v>
      </c>
      <c r="L104" s="409" t="s">
        <v>970</v>
      </c>
      <c r="N104" s="409" t="s">
        <v>248</v>
      </c>
      <c r="O104" s="380" t="str">
        <f>""</f>
        <v/>
      </c>
      <c r="P104" s="409" t="str">
        <f>""</f>
        <v/>
      </c>
      <c r="Q104" s="380" t="str">
        <f>""</f>
        <v/>
      </c>
      <c r="R104" s="409" t="str">
        <f>""</f>
        <v/>
      </c>
      <c r="S104" s="380" t="str">
        <f>""</f>
        <v/>
      </c>
      <c r="T104" s="409" t="str">
        <f>""</f>
        <v/>
      </c>
      <c r="U104" s="380"/>
      <c r="V104" s="409" t="str">
        <f>""</f>
        <v/>
      </c>
      <c r="W104" s="125"/>
    </row>
    <row r="105" spans="1:23" ht="27">
      <c r="A105" s="9"/>
      <c r="B105" s="405">
        <f t="shared" si="2"/>
        <v>98</v>
      </c>
      <c r="C105" s="405" t="s">
        <v>1028</v>
      </c>
      <c r="D105" s="406"/>
      <c r="E105" s="406"/>
      <c r="F105" s="407">
        <f t="shared" si="3"/>
        <v>1.5200000000000009</v>
      </c>
      <c r="G105" s="406"/>
      <c r="H105" s="408"/>
      <c r="J105" s="409" t="s">
        <v>296</v>
      </c>
      <c r="L105" s="409" t="s">
        <v>966</v>
      </c>
      <c r="N105" s="409" t="s">
        <v>248</v>
      </c>
      <c r="O105" s="380" t="str">
        <f>""</f>
        <v/>
      </c>
      <c r="P105" s="409" t="str">
        <f>""</f>
        <v/>
      </c>
      <c r="Q105" s="380" t="str">
        <f>""</f>
        <v/>
      </c>
      <c r="R105" s="409" t="str">
        <f>""</f>
        <v/>
      </c>
      <c r="S105" s="380" t="str">
        <f>""</f>
        <v/>
      </c>
      <c r="T105" s="409" t="str">
        <f>""</f>
        <v/>
      </c>
      <c r="U105" s="380"/>
      <c r="V105" s="409" t="str">
        <f>""</f>
        <v/>
      </c>
      <c r="W105" s="125"/>
    </row>
    <row r="106" spans="1:23" ht="27">
      <c r="A106" s="9"/>
      <c r="B106" s="405">
        <f t="shared" si="2"/>
        <v>99</v>
      </c>
      <c r="C106" s="405" t="s">
        <v>1029</v>
      </c>
      <c r="D106" s="406"/>
      <c r="E106" s="406"/>
      <c r="F106" s="407">
        <f t="shared" si="3"/>
        <v>1.5300000000000009</v>
      </c>
      <c r="G106" s="406"/>
      <c r="H106" s="408"/>
      <c r="J106" s="409" t="s">
        <v>296</v>
      </c>
      <c r="L106" s="409" t="s">
        <v>968</v>
      </c>
      <c r="N106" s="409" t="s">
        <v>248</v>
      </c>
      <c r="O106" s="380" t="str">
        <f>""</f>
        <v/>
      </c>
      <c r="P106" s="409" t="str">
        <f>""</f>
        <v/>
      </c>
      <c r="Q106" s="380" t="str">
        <f>""</f>
        <v/>
      </c>
      <c r="R106" s="409" t="str">
        <f>""</f>
        <v/>
      </c>
      <c r="S106" s="380" t="str">
        <f>""</f>
        <v/>
      </c>
      <c r="T106" s="409" t="str">
        <f>""</f>
        <v/>
      </c>
      <c r="U106" s="380"/>
      <c r="V106" s="409" t="str">
        <f>""</f>
        <v/>
      </c>
      <c r="W106" s="125"/>
    </row>
    <row r="107" spans="1:23" ht="27">
      <c r="A107" s="9"/>
      <c r="B107" s="405">
        <f t="shared" si="2"/>
        <v>100</v>
      </c>
      <c r="C107" s="405" t="s">
        <v>1030</v>
      </c>
      <c r="D107" s="406"/>
      <c r="E107" s="406"/>
      <c r="F107" s="407">
        <f t="shared" si="3"/>
        <v>1.5400000000000009</v>
      </c>
      <c r="G107" s="406"/>
      <c r="H107" s="408"/>
      <c r="J107" s="409" t="s">
        <v>296</v>
      </c>
      <c r="L107" s="409" t="s">
        <v>970</v>
      </c>
      <c r="N107" s="409" t="s">
        <v>248</v>
      </c>
      <c r="O107" s="380" t="str">
        <f>""</f>
        <v/>
      </c>
      <c r="P107" s="409" t="str">
        <f>""</f>
        <v/>
      </c>
      <c r="Q107" s="380" t="str">
        <f>""</f>
        <v/>
      </c>
      <c r="R107" s="409" t="str">
        <f>""</f>
        <v/>
      </c>
      <c r="S107" s="380" t="str">
        <f>""</f>
        <v/>
      </c>
      <c r="T107" s="409" t="str">
        <f>""</f>
        <v/>
      </c>
      <c r="U107" s="380"/>
      <c r="V107" s="409" t="str">
        <f>""</f>
        <v/>
      </c>
      <c r="W107" s="125"/>
    </row>
    <row r="108" spans="1:23">
      <c r="A108" s="9"/>
      <c r="B108" s="405">
        <f t="shared" si="2"/>
        <v>101</v>
      </c>
      <c r="C108" s="405" t="s">
        <v>1031</v>
      </c>
      <c r="D108" s="406"/>
      <c r="E108" s="406"/>
      <c r="F108" s="407">
        <f t="shared" si="3"/>
        <v>1.5500000000000009</v>
      </c>
      <c r="G108" s="406"/>
      <c r="H108" s="408"/>
      <c r="J108" s="409" t="s">
        <v>298</v>
      </c>
      <c r="L108" s="409" t="s">
        <v>966</v>
      </c>
      <c r="N108" s="409" t="s">
        <v>248</v>
      </c>
      <c r="O108" s="380" t="str">
        <f>""</f>
        <v/>
      </c>
      <c r="P108" s="409" t="str">
        <f>""</f>
        <v/>
      </c>
      <c r="Q108" s="380" t="str">
        <f>""</f>
        <v/>
      </c>
      <c r="R108" s="409" t="str">
        <f>""</f>
        <v/>
      </c>
      <c r="S108" s="380" t="str">
        <f>""</f>
        <v/>
      </c>
      <c r="T108" s="409" t="str">
        <f>""</f>
        <v/>
      </c>
      <c r="U108" s="380"/>
      <c r="V108" s="409" t="str">
        <f>""</f>
        <v/>
      </c>
      <c r="W108" s="125"/>
    </row>
    <row r="109" spans="1:23">
      <c r="A109" s="9"/>
      <c r="B109" s="405">
        <f t="shared" si="2"/>
        <v>102</v>
      </c>
      <c r="C109" s="405" t="s">
        <v>1032</v>
      </c>
      <c r="D109" s="406"/>
      <c r="E109" s="406"/>
      <c r="F109" s="407">
        <f t="shared" si="3"/>
        <v>1.5600000000000009</v>
      </c>
      <c r="G109" s="406"/>
      <c r="H109" s="408"/>
      <c r="J109" s="409" t="s">
        <v>298</v>
      </c>
      <c r="L109" s="409" t="s">
        <v>968</v>
      </c>
      <c r="N109" s="409" t="s">
        <v>248</v>
      </c>
      <c r="O109" s="380" t="str">
        <f>""</f>
        <v/>
      </c>
      <c r="P109" s="409" t="str">
        <f>""</f>
        <v/>
      </c>
      <c r="Q109" s="380" t="str">
        <f>""</f>
        <v/>
      </c>
      <c r="R109" s="409" t="str">
        <f>""</f>
        <v/>
      </c>
      <c r="S109" s="380" t="str">
        <f>""</f>
        <v/>
      </c>
      <c r="T109" s="409" t="str">
        <f>""</f>
        <v/>
      </c>
      <c r="U109" s="380"/>
      <c r="V109" s="409" t="str">
        <f>""</f>
        <v/>
      </c>
      <c r="W109" s="125"/>
    </row>
    <row r="110" spans="1:23">
      <c r="A110" s="9"/>
      <c r="B110" s="405">
        <f t="shared" si="2"/>
        <v>103</v>
      </c>
      <c r="C110" s="405" t="s">
        <v>1033</v>
      </c>
      <c r="D110" s="406"/>
      <c r="E110" s="406"/>
      <c r="F110" s="407">
        <f t="shared" si="3"/>
        <v>1.570000000000001</v>
      </c>
      <c r="G110" s="406"/>
      <c r="H110" s="408"/>
      <c r="J110" s="409" t="s">
        <v>298</v>
      </c>
      <c r="L110" s="409" t="s">
        <v>970</v>
      </c>
      <c r="N110" s="409" t="s">
        <v>248</v>
      </c>
      <c r="O110" s="380" t="str">
        <f>""</f>
        <v/>
      </c>
      <c r="P110" s="409" t="str">
        <f>""</f>
        <v/>
      </c>
      <c r="Q110" s="380" t="str">
        <f>""</f>
        <v/>
      </c>
      <c r="R110" s="409" t="str">
        <f>""</f>
        <v/>
      </c>
      <c r="S110" s="380" t="str">
        <f>""</f>
        <v/>
      </c>
      <c r="T110" s="409" t="str">
        <f>""</f>
        <v/>
      </c>
      <c r="U110" s="380"/>
      <c r="V110" s="409" t="str">
        <f>""</f>
        <v/>
      </c>
      <c r="W110" s="125"/>
    </row>
    <row r="111" spans="1:23" ht="27">
      <c r="A111" s="9"/>
      <c r="B111" s="405">
        <f t="shared" si="2"/>
        <v>104</v>
      </c>
      <c r="C111" s="405" t="s">
        <v>1034</v>
      </c>
      <c r="D111" s="406"/>
      <c r="E111" s="406"/>
      <c r="F111" s="407">
        <f t="shared" si="3"/>
        <v>1.580000000000001</v>
      </c>
      <c r="G111" s="406"/>
      <c r="H111" s="408"/>
      <c r="J111" s="409" t="s">
        <v>300</v>
      </c>
      <c r="L111" s="409" t="s">
        <v>966</v>
      </c>
      <c r="N111" s="409" t="s">
        <v>248</v>
      </c>
      <c r="O111" s="380" t="str">
        <f>""</f>
        <v/>
      </c>
      <c r="P111" s="409" t="str">
        <f>""</f>
        <v/>
      </c>
      <c r="Q111" s="380" t="str">
        <f>""</f>
        <v/>
      </c>
      <c r="R111" s="409" t="str">
        <f>""</f>
        <v/>
      </c>
      <c r="S111" s="380" t="str">
        <f>""</f>
        <v/>
      </c>
      <c r="T111" s="409" t="str">
        <f>""</f>
        <v/>
      </c>
      <c r="U111" s="380"/>
      <c r="V111" s="409" t="str">
        <f>""</f>
        <v/>
      </c>
      <c r="W111" s="125"/>
    </row>
    <row r="112" spans="1:23" ht="27">
      <c r="A112" s="9"/>
      <c r="B112" s="405">
        <f t="shared" si="2"/>
        <v>105</v>
      </c>
      <c r="C112" s="405" t="s">
        <v>1035</v>
      </c>
      <c r="D112" s="406"/>
      <c r="E112" s="406"/>
      <c r="F112" s="407">
        <f t="shared" si="3"/>
        <v>1.590000000000001</v>
      </c>
      <c r="G112" s="406"/>
      <c r="H112" s="408"/>
      <c r="J112" s="409" t="s">
        <v>300</v>
      </c>
      <c r="L112" s="409" t="s">
        <v>968</v>
      </c>
      <c r="N112" s="409" t="s">
        <v>248</v>
      </c>
      <c r="O112" s="380" t="str">
        <f>""</f>
        <v/>
      </c>
      <c r="P112" s="409" t="str">
        <f>""</f>
        <v/>
      </c>
      <c r="Q112" s="380" t="str">
        <f>""</f>
        <v/>
      </c>
      <c r="R112" s="409" t="str">
        <f>""</f>
        <v/>
      </c>
      <c r="S112" s="380" t="str">
        <f>""</f>
        <v/>
      </c>
      <c r="T112" s="409" t="str">
        <f>""</f>
        <v/>
      </c>
      <c r="U112" s="380"/>
      <c r="V112" s="409" t="str">
        <f>""</f>
        <v/>
      </c>
      <c r="W112" s="125"/>
    </row>
    <row r="113" spans="1:23" ht="27">
      <c r="A113" s="9"/>
      <c r="B113" s="405">
        <f t="shared" si="2"/>
        <v>106</v>
      </c>
      <c r="C113" s="405" t="s">
        <v>1036</v>
      </c>
      <c r="D113" s="406"/>
      <c r="E113" s="406"/>
      <c r="F113" s="407">
        <f t="shared" si="3"/>
        <v>1.600000000000001</v>
      </c>
      <c r="G113" s="406"/>
      <c r="H113" s="408"/>
      <c r="J113" s="409" t="s">
        <v>300</v>
      </c>
      <c r="L113" s="409" t="s">
        <v>970</v>
      </c>
      <c r="N113" s="409" t="s">
        <v>248</v>
      </c>
      <c r="O113" s="380" t="str">
        <f>""</f>
        <v/>
      </c>
      <c r="P113" s="409" t="str">
        <f>""</f>
        <v/>
      </c>
      <c r="Q113" s="380" t="str">
        <f>""</f>
        <v/>
      </c>
      <c r="R113" s="409" t="str">
        <f>""</f>
        <v/>
      </c>
      <c r="S113" s="380" t="str">
        <f>""</f>
        <v/>
      </c>
      <c r="T113" s="409" t="str">
        <f>""</f>
        <v/>
      </c>
      <c r="U113" s="380"/>
      <c r="V113" s="409" t="str">
        <f>""</f>
        <v/>
      </c>
      <c r="W113" s="125"/>
    </row>
    <row r="114" spans="1:23" ht="27">
      <c r="A114" s="9"/>
      <c r="B114" s="405">
        <f t="shared" si="2"/>
        <v>107</v>
      </c>
      <c r="C114" s="405" t="s">
        <v>1037</v>
      </c>
      <c r="D114" s="406"/>
      <c r="E114" s="406"/>
      <c r="F114" s="407">
        <f t="shared" si="3"/>
        <v>1.610000000000001</v>
      </c>
      <c r="G114" s="406"/>
      <c r="H114" s="408"/>
      <c r="J114" s="409" t="s">
        <v>302</v>
      </c>
      <c r="L114" s="409" t="s">
        <v>966</v>
      </c>
      <c r="N114" s="409" t="s">
        <v>248</v>
      </c>
      <c r="O114" s="380" t="str">
        <f>""</f>
        <v/>
      </c>
      <c r="P114" s="409" t="str">
        <f>""</f>
        <v/>
      </c>
      <c r="Q114" s="380" t="str">
        <f>""</f>
        <v/>
      </c>
      <c r="R114" s="409" t="str">
        <f>""</f>
        <v/>
      </c>
      <c r="S114" s="380" t="str">
        <f>""</f>
        <v/>
      </c>
      <c r="T114" s="409" t="str">
        <f>""</f>
        <v/>
      </c>
      <c r="U114" s="380"/>
      <c r="V114" s="409" t="str">
        <f>""</f>
        <v/>
      </c>
      <c r="W114" s="125"/>
    </row>
    <row r="115" spans="1:23" ht="27">
      <c r="A115" s="9"/>
      <c r="B115" s="405">
        <f t="shared" si="2"/>
        <v>108</v>
      </c>
      <c r="C115" s="405" t="s">
        <v>1038</v>
      </c>
      <c r="D115" s="406"/>
      <c r="E115" s="406"/>
      <c r="F115" s="407">
        <f t="shared" si="3"/>
        <v>1.620000000000001</v>
      </c>
      <c r="G115" s="406"/>
      <c r="H115" s="408"/>
      <c r="J115" s="409" t="s">
        <v>302</v>
      </c>
      <c r="L115" s="409" t="s">
        <v>968</v>
      </c>
      <c r="N115" s="409" t="s">
        <v>248</v>
      </c>
      <c r="O115" s="380" t="str">
        <f>""</f>
        <v/>
      </c>
      <c r="P115" s="409" t="str">
        <f>""</f>
        <v/>
      </c>
      <c r="Q115" s="380" t="str">
        <f>""</f>
        <v/>
      </c>
      <c r="R115" s="409" t="str">
        <f>""</f>
        <v/>
      </c>
      <c r="S115" s="380" t="str">
        <f>""</f>
        <v/>
      </c>
      <c r="T115" s="409" t="str">
        <f>""</f>
        <v/>
      </c>
      <c r="U115" s="380"/>
      <c r="V115" s="409" t="str">
        <f>""</f>
        <v/>
      </c>
      <c r="W115" s="125"/>
    </row>
    <row r="116" spans="1:23" ht="27">
      <c r="A116" s="9"/>
      <c r="B116" s="405">
        <f t="shared" si="2"/>
        <v>109</v>
      </c>
      <c r="C116" s="405" t="s">
        <v>1039</v>
      </c>
      <c r="D116" s="406"/>
      <c r="E116" s="406"/>
      <c r="F116" s="407">
        <f t="shared" si="3"/>
        <v>1.630000000000001</v>
      </c>
      <c r="G116" s="406"/>
      <c r="H116" s="408"/>
      <c r="J116" s="409" t="s">
        <v>302</v>
      </c>
      <c r="L116" s="409" t="s">
        <v>970</v>
      </c>
      <c r="N116" s="409" t="s">
        <v>248</v>
      </c>
      <c r="O116" s="380" t="str">
        <f>""</f>
        <v/>
      </c>
      <c r="P116" s="409" t="str">
        <f>""</f>
        <v/>
      </c>
      <c r="Q116" s="380" t="str">
        <f>""</f>
        <v/>
      </c>
      <c r="R116" s="409" t="str">
        <f>""</f>
        <v/>
      </c>
      <c r="S116" s="380" t="str">
        <f>""</f>
        <v/>
      </c>
      <c r="T116" s="409" t="str">
        <f>""</f>
        <v/>
      </c>
      <c r="U116" s="380"/>
      <c r="V116" s="409" t="str">
        <f>""</f>
        <v/>
      </c>
      <c r="W116" s="125"/>
    </row>
    <row r="117" spans="1:23" ht="27">
      <c r="A117" s="9"/>
      <c r="B117" s="405">
        <f t="shared" si="2"/>
        <v>110</v>
      </c>
      <c r="C117" s="405" t="s">
        <v>1040</v>
      </c>
      <c r="D117" s="406"/>
      <c r="E117" s="406"/>
      <c r="F117" s="407">
        <f t="shared" si="3"/>
        <v>1.640000000000001</v>
      </c>
      <c r="G117" s="406"/>
      <c r="H117" s="408"/>
      <c r="J117" s="409" t="s">
        <v>304</v>
      </c>
      <c r="L117" s="409" t="s">
        <v>966</v>
      </c>
      <c r="N117" s="409" t="s">
        <v>248</v>
      </c>
      <c r="O117" s="380" t="str">
        <f>""</f>
        <v/>
      </c>
      <c r="P117" s="409" t="str">
        <f>""</f>
        <v/>
      </c>
      <c r="Q117" s="380" t="str">
        <f>""</f>
        <v/>
      </c>
      <c r="R117" s="409" t="str">
        <f>""</f>
        <v/>
      </c>
      <c r="S117" s="380" t="str">
        <f>""</f>
        <v/>
      </c>
      <c r="T117" s="409" t="str">
        <f>""</f>
        <v/>
      </c>
      <c r="U117" s="380"/>
      <c r="V117" s="409" t="str">
        <f>""</f>
        <v/>
      </c>
      <c r="W117" s="125"/>
    </row>
    <row r="118" spans="1:23" ht="27">
      <c r="A118" s="9"/>
      <c r="B118" s="405">
        <f t="shared" si="2"/>
        <v>111</v>
      </c>
      <c r="C118" s="405" t="s">
        <v>1041</v>
      </c>
      <c r="D118" s="406"/>
      <c r="E118" s="406"/>
      <c r="F118" s="407">
        <f t="shared" si="3"/>
        <v>1.650000000000001</v>
      </c>
      <c r="G118" s="406"/>
      <c r="H118" s="408"/>
      <c r="J118" s="409" t="s">
        <v>304</v>
      </c>
      <c r="L118" s="409" t="s">
        <v>968</v>
      </c>
      <c r="N118" s="409" t="s">
        <v>248</v>
      </c>
      <c r="O118" s="380" t="str">
        <f>""</f>
        <v/>
      </c>
      <c r="P118" s="409" t="str">
        <f>""</f>
        <v/>
      </c>
      <c r="Q118" s="380" t="str">
        <f>""</f>
        <v/>
      </c>
      <c r="R118" s="409" t="str">
        <f>""</f>
        <v/>
      </c>
      <c r="S118" s="380" t="str">
        <f>""</f>
        <v/>
      </c>
      <c r="T118" s="409" t="str">
        <f>""</f>
        <v/>
      </c>
      <c r="U118" s="380"/>
      <c r="V118" s="409" t="str">
        <f>""</f>
        <v/>
      </c>
      <c r="W118" s="125"/>
    </row>
    <row r="119" spans="1:23" ht="27">
      <c r="A119" s="9"/>
      <c r="B119" s="405">
        <f t="shared" si="2"/>
        <v>112</v>
      </c>
      <c r="C119" s="405" t="s">
        <v>1042</v>
      </c>
      <c r="D119" s="406"/>
      <c r="E119" s="406"/>
      <c r="F119" s="407">
        <f t="shared" si="3"/>
        <v>1.660000000000001</v>
      </c>
      <c r="G119" s="406"/>
      <c r="H119" s="408"/>
      <c r="J119" s="409" t="s">
        <v>304</v>
      </c>
      <c r="L119" s="409" t="s">
        <v>970</v>
      </c>
      <c r="N119" s="409" t="s">
        <v>248</v>
      </c>
      <c r="O119" s="380" t="str">
        <f>""</f>
        <v/>
      </c>
      <c r="P119" s="409" t="str">
        <f>""</f>
        <v/>
      </c>
      <c r="Q119" s="380" t="str">
        <f>""</f>
        <v/>
      </c>
      <c r="R119" s="409" t="str">
        <f>""</f>
        <v/>
      </c>
      <c r="S119" s="380" t="str">
        <f>""</f>
        <v/>
      </c>
      <c r="T119" s="409" t="str">
        <f>""</f>
        <v/>
      </c>
      <c r="U119" s="380"/>
      <c r="V119" s="409" t="str">
        <f>""</f>
        <v/>
      </c>
      <c r="W119" s="125"/>
    </row>
    <row r="120" spans="1:23">
      <c r="A120" s="9"/>
      <c r="B120" s="405">
        <f t="shared" si="2"/>
        <v>113</v>
      </c>
      <c r="C120" s="405" t="s">
        <v>1043</v>
      </c>
      <c r="D120" s="406"/>
      <c r="E120" s="406"/>
      <c r="F120" s="407">
        <f t="shared" si="3"/>
        <v>1.670000000000001</v>
      </c>
      <c r="G120" s="406"/>
      <c r="H120" s="408"/>
      <c r="J120" s="409" t="s">
        <v>306</v>
      </c>
      <c r="L120" s="409" t="s">
        <v>966</v>
      </c>
      <c r="N120" s="409" t="s">
        <v>248</v>
      </c>
      <c r="O120" s="380" t="str">
        <f>""</f>
        <v/>
      </c>
      <c r="P120" s="409" t="str">
        <f>""</f>
        <v/>
      </c>
      <c r="Q120" s="380" t="str">
        <f>""</f>
        <v/>
      </c>
      <c r="R120" s="409" t="str">
        <f>""</f>
        <v/>
      </c>
      <c r="S120" s="380" t="str">
        <f>""</f>
        <v/>
      </c>
      <c r="T120" s="409" t="str">
        <f>""</f>
        <v/>
      </c>
      <c r="U120" s="380"/>
      <c r="V120" s="409" t="str">
        <f>""</f>
        <v/>
      </c>
      <c r="W120" s="125"/>
    </row>
    <row r="121" spans="1:23">
      <c r="A121" s="9"/>
      <c r="B121" s="405">
        <f t="shared" si="2"/>
        <v>114</v>
      </c>
      <c r="C121" s="405" t="s">
        <v>1044</v>
      </c>
      <c r="D121" s="406"/>
      <c r="E121" s="406"/>
      <c r="F121" s="407">
        <f t="shared" si="3"/>
        <v>1.680000000000001</v>
      </c>
      <c r="G121" s="406"/>
      <c r="H121" s="408"/>
      <c r="J121" s="409" t="s">
        <v>306</v>
      </c>
      <c r="L121" s="409" t="s">
        <v>968</v>
      </c>
      <c r="N121" s="409" t="s">
        <v>248</v>
      </c>
      <c r="O121" s="380" t="str">
        <f>""</f>
        <v/>
      </c>
      <c r="P121" s="409" t="str">
        <f>""</f>
        <v/>
      </c>
      <c r="Q121" s="380" t="str">
        <f>""</f>
        <v/>
      </c>
      <c r="R121" s="409" t="str">
        <f>""</f>
        <v/>
      </c>
      <c r="S121" s="380" t="str">
        <f>""</f>
        <v/>
      </c>
      <c r="T121" s="409" t="str">
        <f>""</f>
        <v/>
      </c>
      <c r="U121" s="380"/>
      <c r="V121" s="409" t="str">
        <f>""</f>
        <v/>
      </c>
      <c r="W121" s="125"/>
    </row>
    <row r="122" spans="1:23">
      <c r="A122" s="9"/>
      <c r="B122" s="405">
        <f t="shared" si="2"/>
        <v>115</v>
      </c>
      <c r="C122" s="405" t="s">
        <v>1045</v>
      </c>
      <c r="D122" s="406"/>
      <c r="E122" s="406"/>
      <c r="F122" s="407">
        <f t="shared" si="3"/>
        <v>1.6900000000000011</v>
      </c>
      <c r="G122" s="406"/>
      <c r="H122" s="408"/>
      <c r="J122" s="409" t="s">
        <v>306</v>
      </c>
      <c r="L122" s="409" t="s">
        <v>970</v>
      </c>
      <c r="N122" s="409" t="s">
        <v>248</v>
      </c>
      <c r="O122" s="380" t="str">
        <f>""</f>
        <v/>
      </c>
      <c r="P122" s="409" t="str">
        <f>""</f>
        <v/>
      </c>
      <c r="Q122" s="380" t="str">
        <f>""</f>
        <v/>
      </c>
      <c r="R122" s="409" t="str">
        <f>""</f>
        <v/>
      </c>
      <c r="S122" s="380" t="str">
        <f>""</f>
        <v/>
      </c>
      <c r="T122" s="409" t="str">
        <f>""</f>
        <v/>
      </c>
      <c r="U122" s="380"/>
      <c r="V122" s="409" t="str">
        <f>""</f>
        <v/>
      </c>
      <c r="W122" s="125"/>
    </row>
    <row r="123" spans="1:23" ht="27">
      <c r="A123" s="9"/>
      <c r="B123" s="405">
        <f t="shared" si="2"/>
        <v>116</v>
      </c>
      <c r="C123" s="405" t="s">
        <v>1046</v>
      </c>
      <c r="D123" s="406"/>
      <c r="E123" s="406"/>
      <c r="F123" s="407">
        <f t="shared" si="3"/>
        <v>1.7000000000000011</v>
      </c>
      <c r="G123" s="406"/>
      <c r="H123" s="408"/>
      <c r="J123" s="409" t="s">
        <v>308</v>
      </c>
      <c r="L123" s="409" t="s">
        <v>966</v>
      </c>
      <c r="N123" s="409" t="s">
        <v>248</v>
      </c>
      <c r="O123" s="380" t="str">
        <f>""</f>
        <v/>
      </c>
      <c r="P123" s="409" t="str">
        <f>""</f>
        <v/>
      </c>
      <c r="Q123" s="380" t="str">
        <f>""</f>
        <v/>
      </c>
      <c r="R123" s="409" t="str">
        <f>""</f>
        <v/>
      </c>
      <c r="S123" s="380" t="str">
        <f>""</f>
        <v/>
      </c>
      <c r="T123" s="409" t="str">
        <f>""</f>
        <v/>
      </c>
      <c r="U123" s="380"/>
      <c r="V123" s="409" t="str">
        <f>""</f>
        <v/>
      </c>
      <c r="W123" s="125"/>
    </row>
    <row r="124" spans="1:23" ht="27">
      <c r="A124" s="9"/>
      <c r="B124" s="405">
        <f t="shared" si="2"/>
        <v>117</v>
      </c>
      <c r="C124" s="405" t="s">
        <v>1047</v>
      </c>
      <c r="D124" s="406"/>
      <c r="E124" s="406"/>
      <c r="F124" s="407">
        <f t="shared" si="3"/>
        <v>1.7100000000000011</v>
      </c>
      <c r="G124" s="406"/>
      <c r="H124" s="408"/>
      <c r="J124" s="409" t="s">
        <v>308</v>
      </c>
      <c r="L124" s="409" t="s">
        <v>968</v>
      </c>
      <c r="N124" s="409" t="s">
        <v>248</v>
      </c>
      <c r="O124" s="380" t="str">
        <f>""</f>
        <v/>
      </c>
      <c r="P124" s="409" t="str">
        <f>""</f>
        <v/>
      </c>
      <c r="Q124" s="380" t="str">
        <f>""</f>
        <v/>
      </c>
      <c r="R124" s="409" t="str">
        <f>""</f>
        <v/>
      </c>
      <c r="S124" s="380" t="str">
        <f>""</f>
        <v/>
      </c>
      <c r="T124" s="409" t="str">
        <f>""</f>
        <v/>
      </c>
      <c r="U124" s="380"/>
      <c r="V124" s="409" t="str">
        <f>""</f>
        <v/>
      </c>
      <c r="W124" s="125"/>
    </row>
    <row r="125" spans="1:23" ht="27">
      <c r="A125" s="9"/>
      <c r="B125" s="405">
        <f t="shared" si="2"/>
        <v>118</v>
      </c>
      <c r="C125" s="405" t="s">
        <v>1048</v>
      </c>
      <c r="D125" s="406"/>
      <c r="E125" s="406"/>
      <c r="F125" s="407">
        <f t="shared" si="3"/>
        <v>1.7200000000000011</v>
      </c>
      <c r="G125" s="406"/>
      <c r="H125" s="408"/>
      <c r="J125" s="409" t="s">
        <v>308</v>
      </c>
      <c r="L125" s="409" t="s">
        <v>970</v>
      </c>
      <c r="N125" s="409" t="s">
        <v>248</v>
      </c>
      <c r="O125" s="380" t="str">
        <f>""</f>
        <v/>
      </c>
      <c r="P125" s="409" t="str">
        <f>""</f>
        <v/>
      </c>
      <c r="Q125" s="380" t="str">
        <f>""</f>
        <v/>
      </c>
      <c r="R125" s="409" t="str">
        <f>""</f>
        <v/>
      </c>
      <c r="S125" s="380" t="str">
        <f>""</f>
        <v/>
      </c>
      <c r="T125" s="409" t="str">
        <f>""</f>
        <v/>
      </c>
      <c r="U125" s="380"/>
      <c r="V125" s="409" t="str">
        <f>""</f>
        <v/>
      </c>
      <c r="W125" s="125"/>
    </row>
    <row r="126" spans="1:23">
      <c r="A126" s="9"/>
      <c r="B126" s="405">
        <f t="shared" si="2"/>
        <v>119</v>
      </c>
      <c r="C126" s="405" t="s">
        <v>1049</v>
      </c>
      <c r="D126" s="406"/>
      <c r="E126" s="406"/>
      <c r="F126" s="407">
        <f t="shared" si="3"/>
        <v>1.7300000000000011</v>
      </c>
      <c r="G126" s="406"/>
      <c r="H126" s="408"/>
      <c r="J126" s="409" t="s">
        <v>310</v>
      </c>
      <c r="L126" s="409" t="s">
        <v>966</v>
      </c>
      <c r="N126" s="409" t="s">
        <v>248</v>
      </c>
      <c r="O126" s="380" t="str">
        <f>""</f>
        <v/>
      </c>
      <c r="P126" s="409" t="str">
        <f>""</f>
        <v/>
      </c>
      <c r="Q126" s="380" t="str">
        <f>""</f>
        <v/>
      </c>
      <c r="R126" s="409" t="str">
        <f>""</f>
        <v/>
      </c>
      <c r="S126" s="380" t="str">
        <f>""</f>
        <v/>
      </c>
      <c r="T126" s="409" t="str">
        <f>""</f>
        <v/>
      </c>
      <c r="U126" s="380"/>
      <c r="V126" s="409" t="str">
        <f>""</f>
        <v/>
      </c>
      <c r="W126" s="125"/>
    </row>
    <row r="127" spans="1:23">
      <c r="A127" s="9"/>
      <c r="B127" s="405">
        <f t="shared" si="2"/>
        <v>120</v>
      </c>
      <c r="C127" s="405" t="s">
        <v>1050</v>
      </c>
      <c r="D127" s="406"/>
      <c r="E127" s="406"/>
      <c r="F127" s="407">
        <f t="shared" si="3"/>
        <v>1.7400000000000011</v>
      </c>
      <c r="G127" s="406"/>
      <c r="H127" s="408"/>
      <c r="J127" s="409" t="s">
        <v>310</v>
      </c>
      <c r="L127" s="409" t="s">
        <v>968</v>
      </c>
      <c r="N127" s="409" t="s">
        <v>248</v>
      </c>
      <c r="O127" s="380" t="str">
        <f>""</f>
        <v/>
      </c>
      <c r="P127" s="409" t="str">
        <f>""</f>
        <v/>
      </c>
      <c r="Q127" s="380" t="str">
        <f>""</f>
        <v/>
      </c>
      <c r="R127" s="409" t="str">
        <f>""</f>
        <v/>
      </c>
      <c r="S127" s="380" t="str">
        <f>""</f>
        <v/>
      </c>
      <c r="T127" s="409" t="str">
        <f>""</f>
        <v/>
      </c>
      <c r="U127" s="380"/>
      <c r="V127" s="409" t="str">
        <f>""</f>
        <v/>
      </c>
      <c r="W127" s="125"/>
    </row>
    <row r="128" spans="1:23">
      <c r="A128" s="9"/>
      <c r="B128" s="405">
        <f t="shared" si="2"/>
        <v>121</v>
      </c>
      <c r="C128" s="405" t="s">
        <v>1051</v>
      </c>
      <c r="D128" s="406"/>
      <c r="E128" s="406"/>
      <c r="F128" s="407">
        <f t="shared" si="3"/>
        <v>1.7500000000000011</v>
      </c>
      <c r="G128" s="406"/>
      <c r="H128" s="408"/>
      <c r="J128" s="409" t="s">
        <v>310</v>
      </c>
      <c r="L128" s="409" t="s">
        <v>970</v>
      </c>
      <c r="N128" s="409" t="s">
        <v>248</v>
      </c>
      <c r="O128" s="380" t="str">
        <f>""</f>
        <v/>
      </c>
      <c r="P128" s="409" t="str">
        <f>""</f>
        <v/>
      </c>
      <c r="Q128" s="380" t="str">
        <f>""</f>
        <v/>
      </c>
      <c r="R128" s="409" t="str">
        <f>""</f>
        <v/>
      </c>
      <c r="S128" s="380" t="str">
        <f>""</f>
        <v/>
      </c>
      <c r="T128" s="409" t="str">
        <f>""</f>
        <v/>
      </c>
      <c r="U128" s="380"/>
      <c r="V128" s="409" t="str">
        <f>""</f>
        <v/>
      </c>
      <c r="W128" s="125"/>
    </row>
    <row r="129" spans="1:23">
      <c r="A129" s="9"/>
      <c r="B129" s="405">
        <f t="shared" si="2"/>
        <v>122</v>
      </c>
      <c r="C129" s="405" t="s">
        <v>1052</v>
      </c>
      <c r="D129" s="406"/>
      <c r="E129" s="406"/>
      <c r="F129" s="407">
        <f t="shared" si="3"/>
        <v>1.7600000000000011</v>
      </c>
      <c r="G129" s="406"/>
      <c r="H129" s="408"/>
      <c r="J129" s="409" t="s">
        <v>312</v>
      </c>
      <c r="L129" s="409" t="s">
        <v>966</v>
      </c>
      <c r="N129" s="409" t="s">
        <v>248</v>
      </c>
      <c r="O129" s="380" t="str">
        <f>""</f>
        <v/>
      </c>
      <c r="P129" s="409" t="str">
        <f>""</f>
        <v/>
      </c>
      <c r="Q129" s="380" t="str">
        <f>""</f>
        <v/>
      </c>
      <c r="R129" s="409" t="str">
        <f>""</f>
        <v/>
      </c>
      <c r="S129" s="380" t="str">
        <f>""</f>
        <v/>
      </c>
      <c r="T129" s="409" t="str">
        <f>""</f>
        <v/>
      </c>
      <c r="U129" s="380"/>
      <c r="V129" s="409" t="str">
        <f>""</f>
        <v/>
      </c>
      <c r="W129" s="125"/>
    </row>
    <row r="130" spans="1:23">
      <c r="A130" s="9"/>
      <c r="B130" s="405">
        <f t="shared" si="2"/>
        <v>123</v>
      </c>
      <c r="C130" s="405" t="s">
        <v>1053</v>
      </c>
      <c r="D130" s="406"/>
      <c r="E130" s="406"/>
      <c r="F130" s="407">
        <f t="shared" si="3"/>
        <v>1.7700000000000011</v>
      </c>
      <c r="G130" s="406"/>
      <c r="H130" s="408"/>
      <c r="J130" s="409" t="s">
        <v>312</v>
      </c>
      <c r="L130" s="409" t="s">
        <v>968</v>
      </c>
      <c r="N130" s="409" t="s">
        <v>248</v>
      </c>
      <c r="O130" s="380" t="str">
        <f>""</f>
        <v/>
      </c>
      <c r="P130" s="409" t="str">
        <f>""</f>
        <v/>
      </c>
      <c r="Q130" s="380" t="str">
        <f>""</f>
        <v/>
      </c>
      <c r="R130" s="409" t="str">
        <f>""</f>
        <v/>
      </c>
      <c r="S130" s="380" t="str">
        <f>""</f>
        <v/>
      </c>
      <c r="T130" s="409" t="str">
        <f>""</f>
        <v/>
      </c>
      <c r="U130" s="380"/>
      <c r="V130" s="409" t="str">
        <f>""</f>
        <v/>
      </c>
      <c r="W130" s="125"/>
    </row>
    <row r="131" spans="1:23">
      <c r="A131" s="9"/>
      <c r="B131" s="405">
        <f t="shared" si="2"/>
        <v>124</v>
      </c>
      <c r="C131" s="405" t="s">
        <v>1054</v>
      </c>
      <c r="D131" s="406"/>
      <c r="E131" s="406"/>
      <c r="F131" s="407">
        <f t="shared" si="3"/>
        <v>1.7800000000000011</v>
      </c>
      <c r="G131" s="406"/>
      <c r="H131" s="408"/>
      <c r="J131" s="409" t="s">
        <v>312</v>
      </c>
      <c r="L131" s="409" t="s">
        <v>970</v>
      </c>
      <c r="N131" s="409" t="s">
        <v>248</v>
      </c>
      <c r="O131" s="380" t="str">
        <f>""</f>
        <v/>
      </c>
      <c r="P131" s="409" t="str">
        <f>""</f>
        <v/>
      </c>
      <c r="Q131" s="380" t="str">
        <f>""</f>
        <v/>
      </c>
      <c r="R131" s="409" t="str">
        <f>""</f>
        <v/>
      </c>
      <c r="S131" s="380" t="str">
        <f>""</f>
        <v/>
      </c>
      <c r="T131" s="409" t="str">
        <f>""</f>
        <v/>
      </c>
      <c r="U131" s="380"/>
      <c r="V131" s="409" t="str">
        <f>""</f>
        <v/>
      </c>
      <c r="W131" s="125"/>
    </row>
    <row r="132" spans="1:23">
      <c r="A132" s="9"/>
      <c r="B132" s="405">
        <f t="shared" si="2"/>
        <v>125</v>
      </c>
      <c r="C132" s="405" t="s">
        <v>1055</v>
      </c>
      <c r="D132" s="406"/>
      <c r="E132" s="406"/>
      <c r="F132" s="407">
        <f t="shared" si="3"/>
        <v>1.7900000000000011</v>
      </c>
      <c r="G132" s="406"/>
      <c r="H132" s="408"/>
      <c r="J132" s="409" t="s">
        <v>314</v>
      </c>
      <c r="L132" s="409" t="s">
        <v>966</v>
      </c>
      <c r="N132" s="409" t="s">
        <v>248</v>
      </c>
      <c r="O132" s="380" t="str">
        <f>""</f>
        <v/>
      </c>
      <c r="P132" s="409" t="str">
        <f>""</f>
        <v/>
      </c>
      <c r="Q132" s="380" t="str">
        <f>""</f>
        <v/>
      </c>
      <c r="R132" s="409" t="str">
        <f>""</f>
        <v/>
      </c>
      <c r="S132" s="380" t="str">
        <f>""</f>
        <v/>
      </c>
      <c r="T132" s="409" t="str">
        <f>""</f>
        <v/>
      </c>
      <c r="U132" s="380"/>
      <c r="V132" s="409" t="str">
        <f>""</f>
        <v/>
      </c>
      <c r="W132" s="125"/>
    </row>
    <row r="133" spans="1:23">
      <c r="A133" s="9"/>
      <c r="B133" s="405">
        <f t="shared" si="2"/>
        <v>126</v>
      </c>
      <c r="C133" s="405" t="s">
        <v>1056</v>
      </c>
      <c r="D133" s="406"/>
      <c r="E133" s="406"/>
      <c r="F133" s="407">
        <f t="shared" si="3"/>
        <v>1.8000000000000012</v>
      </c>
      <c r="G133" s="406"/>
      <c r="H133" s="408"/>
      <c r="J133" s="409" t="s">
        <v>314</v>
      </c>
      <c r="L133" s="409" t="s">
        <v>968</v>
      </c>
      <c r="N133" s="409" t="s">
        <v>248</v>
      </c>
      <c r="O133" s="380" t="str">
        <f>""</f>
        <v/>
      </c>
      <c r="P133" s="409" t="str">
        <f>""</f>
        <v/>
      </c>
      <c r="Q133" s="380" t="str">
        <f>""</f>
        <v/>
      </c>
      <c r="R133" s="409" t="str">
        <f>""</f>
        <v/>
      </c>
      <c r="S133" s="380" t="str">
        <f>""</f>
        <v/>
      </c>
      <c r="T133" s="409" t="str">
        <f>""</f>
        <v/>
      </c>
      <c r="U133" s="380"/>
      <c r="V133" s="409" t="str">
        <f>""</f>
        <v/>
      </c>
      <c r="W133" s="125"/>
    </row>
    <row r="134" spans="1:23">
      <c r="A134" s="9"/>
      <c r="B134" s="405">
        <f t="shared" si="2"/>
        <v>127</v>
      </c>
      <c r="C134" s="405" t="s">
        <v>1057</v>
      </c>
      <c r="D134" s="406"/>
      <c r="E134" s="406"/>
      <c r="F134" s="407">
        <f t="shared" si="3"/>
        <v>1.8100000000000012</v>
      </c>
      <c r="G134" s="406"/>
      <c r="H134" s="408"/>
      <c r="J134" s="409" t="s">
        <v>314</v>
      </c>
      <c r="L134" s="409" t="s">
        <v>970</v>
      </c>
      <c r="N134" s="409" t="s">
        <v>248</v>
      </c>
      <c r="O134" s="380" t="str">
        <f>""</f>
        <v/>
      </c>
      <c r="P134" s="409" t="str">
        <f>""</f>
        <v/>
      </c>
      <c r="Q134" s="380" t="str">
        <f>""</f>
        <v/>
      </c>
      <c r="R134" s="409" t="str">
        <f>""</f>
        <v/>
      </c>
      <c r="S134" s="380" t="str">
        <f>""</f>
        <v/>
      </c>
      <c r="T134" s="409" t="str">
        <f>""</f>
        <v/>
      </c>
      <c r="U134" s="380"/>
      <c r="V134" s="409" t="str">
        <f>""</f>
        <v/>
      </c>
      <c r="W134" s="125"/>
    </row>
    <row r="135" spans="1:23">
      <c r="A135" s="9"/>
      <c r="B135" s="405">
        <f t="shared" si="2"/>
        <v>128</v>
      </c>
      <c r="C135" s="405" t="s">
        <v>1058</v>
      </c>
      <c r="D135" s="406"/>
      <c r="E135" s="406"/>
      <c r="F135" s="407">
        <f t="shared" si="3"/>
        <v>1.8200000000000012</v>
      </c>
      <c r="G135" s="406"/>
      <c r="H135" s="408"/>
      <c r="J135" s="409" t="s">
        <v>316</v>
      </c>
      <c r="L135" s="409" t="s">
        <v>966</v>
      </c>
      <c r="N135" s="409" t="s">
        <v>246</v>
      </c>
      <c r="O135" s="380" t="str">
        <f>""</f>
        <v/>
      </c>
      <c r="P135" s="409" t="str">
        <f>""</f>
        <v/>
      </c>
      <c r="Q135" s="380" t="str">
        <f>""</f>
        <v/>
      </c>
      <c r="R135" s="409" t="str">
        <f>""</f>
        <v/>
      </c>
      <c r="S135" s="380" t="str">
        <f>""</f>
        <v/>
      </c>
      <c r="T135" s="409" t="str">
        <f>""</f>
        <v/>
      </c>
      <c r="U135" s="380"/>
      <c r="V135" s="409" t="str">
        <f>""</f>
        <v/>
      </c>
      <c r="W135" s="125"/>
    </row>
    <row r="136" spans="1:23">
      <c r="A136" s="9"/>
      <c r="B136" s="405">
        <f t="shared" si="2"/>
        <v>129</v>
      </c>
      <c r="C136" s="405" t="s">
        <v>1059</v>
      </c>
      <c r="D136" s="406"/>
      <c r="E136" s="406"/>
      <c r="F136" s="407">
        <f t="shared" si="3"/>
        <v>1.8300000000000012</v>
      </c>
      <c r="G136" s="406"/>
      <c r="H136" s="408"/>
      <c r="J136" s="409" t="s">
        <v>316</v>
      </c>
      <c r="L136" s="409" t="s">
        <v>968</v>
      </c>
      <c r="N136" s="409" t="s">
        <v>246</v>
      </c>
      <c r="O136" s="380" t="str">
        <f>""</f>
        <v/>
      </c>
      <c r="P136" s="409" t="str">
        <f>""</f>
        <v/>
      </c>
      <c r="Q136" s="380" t="str">
        <f>""</f>
        <v/>
      </c>
      <c r="R136" s="409" t="str">
        <f>""</f>
        <v/>
      </c>
      <c r="S136" s="380" t="str">
        <f>""</f>
        <v/>
      </c>
      <c r="T136" s="409" t="str">
        <f>""</f>
        <v/>
      </c>
      <c r="U136" s="380"/>
      <c r="V136" s="409" t="str">
        <f>""</f>
        <v/>
      </c>
      <c r="W136" s="125"/>
    </row>
    <row r="137" spans="1:23">
      <c r="A137" s="9"/>
      <c r="B137" s="405">
        <f t="shared" ref="B137:B200" si="4">B136+1</f>
        <v>130</v>
      </c>
      <c r="C137" s="405" t="s">
        <v>1060</v>
      </c>
      <c r="D137" s="406"/>
      <c r="E137" s="406"/>
      <c r="F137" s="407">
        <f t="shared" ref="F137:F200" si="5">F136+0.01</f>
        <v>1.8400000000000012</v>
      </c>
      <c r="G137" s="406"/>
      <c r="H137" s="408"/>
      <c r="J137" s="409" t="s">
        <v>316</v>
      </c>
      <c r="L137" s="409" t="s">
        <v>970</v>
      </c>
      <c r="N137" s="409" t="s">
        <v>246</v>
      </c>
      <c r="O137" s="380" t="str">
        <f>""</f>
        <v/>
      </c>
      <c r="P137" s="409" t="str">
        <f>""</f>
        <v/>
      </c>
      <c r="Q137" s="380" t="str">
        <f>""</f>
        <v/>
      </c>
      <c r="R137" s="409" t="str">
        <f>""</f>
        <v/>
      </c>
      <c r="S137" s="380" t="str">
        <f>""</f>
        <v/>
      </c>
      <c r="T137" s="409" t="str">
        <f>""</f>
        <v/>
      </c>
      <c r="U137" s="380"/>
      <c r="V137" s="409" t="str">
        <f>""</f>
        <v/>
      </c>
      <c r="W137" s="125"/>
    </row>
    <row r="138" spans="1:23">
      <c r="A138" s="9"/>
      <c r="B138" s="405">
        <f t="shared" si="4"/>
        <v>131</v>
      </c>
      <c r="C138" s="405" t="s">
        <v>1061</v>
      </c>
      <c r="D138" s="406"/>
      <c r="E138" s="406"/>
      <c r="F138" s="407">
        <f t="shared" si="5"/>
        <v>1.8500000000000012</v>
      </c>
      <c r="G138" s="406"/>
      <c r="H138" s="408"/>
      <c r="J138" s="409" t="s">
        <v>318</v>
      </c>
      <c r="L138" s="409" t="s">
        <v>966</v>
      </c>
      <c r="N138" s="409" t="s">
        <v>246</v>
      </c>
      <c r="O138" s="380" t="str">
        <f>""</f>
        <v/>
      </c>
      <c r="P138" s="409" t="str">
        <f>""</f>
        <v/>
      </c>
      <c r="Q138" s="380" t="str">
        <f>""</f>
        <v/>
      </c>
      <c r="R138" s="409" t="str">
        <f>""</f>
        <v/>
      </c>
      <c r="S138" s="380" t="str">
        <f>""</f>
        <v/>
      </c>
      <c r="T138" s="409" t="str">
        <f>""</f>
        <v/>
      </c>
      <c r="U138" s="380"/>
      <c r="V138" s="409" t="str">
        <f>""</f>
        <v/>
      </c>
      <c r="W138" s="125"/>
    </row>
    <row r="139" spans="1:23">
      <c r="A139" s="9"/>
      <c r="B139" s="405">
        <f t="shared" si="4"/>
        <v>132</v>
      </c>
      <c r="C139" s="405" t="s">
        <v>1062</v>
      </c>
      <c r="D139" s="406"/>
      <c r="E139" s="406"/>
      <c r="F139" s="407">
        <f t="shared" si="5"/>
        <v>1.8600000000000012</v>
      </c>
      <c r="G139" s="406"/>
      <c r="H139" s="408"/>
      <c r="J139" s="409" t="s">
        <v>318</v>
      </c>
      <c r="L139" s="409" t="s">
        <v>968</v>
      </c>
      <c r="N139" s="409" t="s">
        <v>246</v>
      </c>
      <c r="O139" s="380" t="str">
        <f>""</f>
        <v/>
      </c>
      <c r="P139" s="409" t="str">
        <f>""</f>
        <v/>
      </c>
      <c r="Q139" s="380" t="str">
        <f>""</f>
        <v/>
      </c>
      <c r="R139" s="409" t="str">
        <f>""</f>
        <v/>
      </c>
      <c r="S139" s="380" t="str">
        <f>""</f>
        <v/>
      </c>
      <c r="T139" s="409" t="str">
        <f>""</f>
        <v/>
      </c>
      <c r="U139" s="380"/>
      <c r="V139" s="409" t="str">
        <f>""</f>
        <v/>
      </c>
      <c r="W139" s="125"/>
    </row>
    <row r="140" spans="1:23">
      <c r="A140" s="9"/>
      <c r="B140" s="405">
        <f t="shared" si="4"/>
        <v>133</v>
      </c>
      <c r="C140" s="405" t="s">
        <v>1063</v>
      </c>
      <c r="D140" s="406"/>
      <c r="E140" s="406"/>
      <c r="F140" s="407">
        <f t="shared" si="5"/>
        <v>1.8700000000000012</v>
      </c>
      <c r="G140" s="406"/>
      <c r="H140" s="408"/>
      <c r="J140" s="409" t="s">
        <v>318</v>
      </c>
      <c r="L140" s="409" t="s">
        <v>970</v>
      </c>
      <c r="N140" s="409" t="s">
        <v>246</v>
      </c>
      <c r="O140" s="380" t="str">
        <f>""</f>
        <v/>
      </c>
      <c r="P140" s="409" t="str">
        <f>""</f>
        <v/>
      </c>
      <c r="Q140" s="380" t="str">
        <f>""</f>
        <v/>
      </c>
      <c r="R140" s="409" t="str">
        <f>""</f>
        <v/>
      </c>
      <c r="S140" s="380" t="str">
        <f>""</f>
        <v/>
      </c>
      <c r="T140" s="409" t="str">
        <f>""</f>
        <v/>
      </c>
      <c r="U140" s="380"/>
      <c r="V140" s="409" t="str">
        <f>""</f>
        <v/>
      </c>
      <c r="W140" s="125"/>
    </row>
    <row r="141" spans="1:23">
      <c r="A141" s="9"/>
      <c r="B141" s="405">
        <f t="shared" si="4"/>
        <v>134</v>
      </c>
      <c r="C141" s="405" t="s">
        <v>1064</v>
      </c>
      <c r="D141" s="406"/>
      <c r="E141" s="406"/>
      <c r="F141" s="407">
        <f t="shared" si="5"/>
        <v>1.8800000000000012</v>
      </c>
      <c r="G141" s="406"/>
      <c r="H141" s="408"/>
      <c r="J141" s="409" t="s">
        <v>320</v>
      </c>
      <c r="L141" s="409" t="s">
        <v>966</v>
      </c>
      <c r="N141" s="409" t="s">
        <v>248</v>
      </c>
      <c r="O141" s="380" t="str">
        <f>""</f>
        <v/>
      </c>
      <c r="P141" s="409" t="str">
        <f>""</f>
        <v/>
      </c>
      <c r="Q141" s="380" t="str">
        <f>""</f>
        <v/>
      </c>
      <c r="R141" s="409" t="str">
        <f>""</f>
        <v/>
      </c>
      <c r="S141" s="380" t="str">
        <f>""</f>
        <v/>
      </c>
      <c r="T141" s="409" t="str">
        <f>""</f>
        <v/>
      </c>
      <c r="U141" s="380"/>
      <c r="V141" s="409" t="str">
        <f>""</f>
        <v/>
      </c>
      <c r="W141" s="125"/>
    </row>
    <row r="142" spans="1:23">
      <c r="A142" s="9"/>
      <c r="B142" s="405">
        <f t="shared" si="4"/>
        <v>135</v>
      </c>
      <c r="C142" s="405" t="s">
        <v>1065</v>
      </c>
      <c r="D142" s="406"/>
      <c r="E142" s="406"/>
      <c r="F142" s="407">
        <f t="shared" si="5"/>
        <v>1.8900000000000012</v>
      </c>
      <c r="G142" s="406"/>
      <c r="H142" s="408"/>
      <c r="J142" s="409" t="s">
        <v>320</v>
      </c>
      <c r="L142" s="409" t="s">
        <v>968</v>
      </c>
      <c r="N142" s="409" t="s">
        <v>248</v>
      </c>
      <c r="O142" s="380" t="str">
        <f>""</f>
        <v/>
      </c>
      <c r="P142" s="409" t="str">
        <f>""</f>
        <v/>
      </c>
      <c r="Q142" s="380" t="str">
        <f>""</f>
        <v/>
      </c>
      <c r="R142" s="409" t="str">
        <f>""</f>
        <v/>
      </c>
      <c r="S142" s="380" t="str">
        <f>""</f>
        <v/>
      </c>
      <c r="T142" s="409" t="str">
        <f>""</f>
        <v/>
      </c>
      <c r="U142" s="380"/>
      <c r="V142" s="409" t="str">
        <f>""</f>
        <v/>
      </c>
      <c r="W142" s="125"/>
    </row>
    <row r="143" spans="1:23">
      <c r="A143" s="9"/>
      <c r="B143" s="405">
        <f t="shared" si="4"/>
        <v>136</v>
      </c>
      <c r="C143" s="405" t="s">
        <v>1066</v>
      </c>
      <c r="D143" s="406"/>
      <c r="E143" s="406"/>
      <c r="F143" s="407">
        <f t="shared" si="5"/>
        <v>1.9000000000000012</v>
      </c>
      <c r="G143" s="406"/>
      <c r="H143" s="408"/>
      <c r="J143" s="409" t="s">
        <v>320</v>
      </c>
      <c r="L143" s="409" t="s">
        <v>970</v>
      </c>
      <c r="N143" s="409" t="s">
        <v>248</v>
      </c>
      <c r="O143" s="380" t="str">
        <f>""</f>
        <v/>
      </c>
      <c r="P143" s="409" t="str">
        <f>""</f>
        <v/>
      </c>
      <c r="Q143" s="380" t="str">
        <f>""</f>
        <v/>
      </c>
      <c r="R143" s="409" t="str">
        <f>""</f>
        <v/>
      </c>
      <c r="S143" s="380" t="str">
        <f>""</f>
        <v/>
      </c>
      <c r="T143" s="409" t="str">
        <f>""</f>
        <v/>
      </c>
      <c r="U143" s="380"/>
      <c r="V143" s="409" t="str">
        <f>""</f>
        <v/>
      </c>
      <c r="W143" s="125"/>
    </row>
    <row r="144" spans="1:23">
      <c r="A144" s="9"/>
      <c r="B144" s="405">
        <f t="shared" si="4"/>
        <v>137</v>
      </c>
      <c r="C144" s="405" t="s">
        <v>1067</v>
      </c>
      <c r="D144" s="406"/>
      <c r="E144" s="406"/>
      <c r="F144" s="407">
        <f t="shared" si="5"/>
        <v>1.9100000000000013</v>
      </c>
      <c r="G144" s="406"/>
      <c r="H144" s="408"/>
      <c r="J144" s="409" t="s">
        <v>322</v>
      </c>
      <c r="L144" s="409" t="s">
        <v>966</v>
      </c>
      <c r="N144" s="409" t="s">
        <v>246</v>
      </c>
      <c r="O144" s="380" t="str">
        <f>""</f>
        <v/>
      </c>
      <c r="P144" s="409" t="str">
        <f>""</f>
        <v/>
      </c>
      <c r="Q144" s="380" t="str">
        <f>""</f>
        <v/>
      </c>
      <c r="R144" s="409" t="str">
        <f>""</f>
        <v/>
      </c>
      <c r="S144" s="380" t="str">
        <f>""</f>
        <v/>
      </c>
      <c r="T144" s="409" t="str">
        <f>""</f>
        <v/>
      </c>
      <c r="U144" s="380"/>
      <c r="V144" s="409" t="str">
        <f>""</f>
        <v/>
      </c>
      <c r="W144" s="125"/>
    </row>
    <row r="145" spans="1:23">
      <c r="A145" s="9"/>
      <c r="B145" s="405">
        <f t="shared" si="4"/>
        <v>138</v>
      </c>
      <c r="C145" s="405" t="s">
        <v>1068</v>
      </c>
      <c r="D145" s="406"/>
      <c r="E145" s="406"/>
      <c r="F145" s="407">
        <f t="shared" si="5"/>
        <v>1.9200000000000013</v>
      </c>
      <c r="G145" s="406"/>
      <c r="H145" s="408"/>
      <c r="J145" s="409" t="s">
        <v>322</v>
      </c>
      <c r="L145" s="409" t="s">
        <v>968</v>
      </c>
      <c r="N145" s="409" t="s">
        <v>246</v>
      </c>
      <c r="O145" s="380" t="str">
        <f>""</f>
        <v/>
      </c>
      <c r="P145" s="409" t="str">
        <f>""</f>
        <v/>
      </c>
      <c r="Q145" s="380" t="str">
        <f>""</f>
        <v/>
      </c>
      <c r="R145" s="409" t="str">
        <f>""</f>
        <v/>
      </c>
      <c r="S145" s="380" t="str">
        <f>""</f>
        <v/>
      </c>
      <c r="T145" s="409" t="str">
        <f>""</f>
        <v/>
      </c>
      <c r="U145" s="380"/>
      <c r="V145" s="409" t="str">
        <f>""</f>
        <v/>
      </c>
      <c r="W145" s="125"/>
    </row>
    <row r="146" spans="1:23">
      <c r="A146" s="9"/>
      <c r="B146" s="405">
        <f t="shared" si="4"/>
        <v>139</v>
      </c>
      <c r="C146" s="405" t="s">
        <v>1069</v>
      </c>
      <c r="D146" s="406"/>
      <c r="E146" s="406"/>
      <c r="F146" s="407">
        <f t="shared" si="5"/>
        <v>1.9300000000000013</v>
      </c>
      <c r="G146" s="406"/>
      <c r="H146" s="408"/>
      <c r="J146" s="409" t="s">
        <v>322</v>
      </c>
      <c r="L146" s="409" t="s">
        <v>970</v>
      </c>
      <c r="N146" s="409" t="s">
        <v>246</v>
      </c>
      <c r="O146" s="380" t="str">
        <f>""</f>
        <v/>
      </c>
      <c r="P146" s="409" t="str">
        <f>""</f>
        <v/>
      </c>
      <c r="Q146" s="380" t="str">
        <f>""</f>
        <v/>
      </c>
      <c r="R146" s="409" t="str">
        <f>""</f>
        <v/>
      </c>
      <c r="S146" s="380" t="str">
        <f>""</f>
        <v/>
      </c>
      <c r="T146" s="409" t="str">
        <f>""</f>
        <v/>
      </c>
      <c r="U146" s="380"/>
      <c r="V146" s="409" t="str">
        <f>""</f>
        <v/>
      </c>
      <c r="W146" s="125"/>
    </row>
    <row r="147" spans="1:23">
      <c r="A147" s="9"/>
      <c r="B147" s="405">
        <f t="shared" si="4"/>
        <v>140</v>
      </c>
      <c r="C147" s="405" t="s">
        <v>1070</v>
      </c>
      <c r="D147" s="406"/>
      <c r="E147" s="406"/>
      <c r="F147" s="407">
        <f t="shared" si="5"/>
        <v>1.9400000000000013</v>
      </c>
      <c r="G147" s="406"/>
      <c r="H147" s="408"/>
      <c r="J147" s="409" t="s">
        <v>326</v>
      </c>
      <c r="L147" s="409" t="s">
        <v>966</v>
      </c>
      <c r="N147" s="409" t="s">
        <v>248</v>
      </c>
      <c r="O147" s="380" t="str">
        <f>""</f>
        <v/>
      </c>
      <c r="P147" s="409" t="str">
        <f>""</f>
        <v/>
      </c>
      <c r="Q147" s="380" t="str">
        <f>""</f>
        <v/>
      </c>
      <c r="R147" s="409" t="str">
        <f>""</f>
        <v/>
      </c>
      <c r="S147" s="380" t="str">
        <f>""</f>
        <v/>
      </c>
      <c r="T147" s="409" t="str">
        <f>""</f>
        <v/>
      </c>
      <c r="U147" s="380"/>
      <c r="V147" s="409" t="str">
        <f>""</f>
        <v/>
      </c>
      <c r="W147" s="125"/>
    </row>
    <row r="148" spans="1:23">
      <c r="A148" s="9"/>
      <c r="B148" s="405">
        <f t="shared" si="4"/>
        <v>141</v>
      </c>
      <c r="C148" s="405" t="s">
        <v>1071</v>
      </c>
      <c r="D148" s="406"/>
      <c r="E148" s="406"/>
      <c r="F148" s="407">
        <f t="shared" si="5"/>
        <v>1.9500000000000013</v>
      </c>
      <c r="G148" s="406"/>
      <c r="H148" s="408"/>
      <c r="J148" s="409" t="s">
        <v>326</v>
      </c>
      <c r="L148" s="409" t="s">
        <v>968</v>
      </c>
      <c r="N148" s="409" t="s">
        <v>248</v>
      </c>
      <c r="O148" s="380" t="str">
        <f>""</f>
        <v/>
      </c>
      <c r="P148" s="409" t="str">
        <f>""</f>
        <v/>
      </c>
      <c r="Q148" s="380" t="str">
        <f>""</f>
        <v/>
      </c>
      <c r="R148" s="409" t="str">
        <f>""</f>
        <v/>
      </c>
      <c r="S148" s="380" t="str">
        <f>""</f>
        <v/>
      </c>
      <c r="T148" s="409" t="str">
        <f>""</f>
        <v/>
      </c>
      <c r="U148" s="380"/>
      <c r="V148" s="409" t="str">
        <f>""</f>
        <v/>
      </c>
      <c r="W148" s="125"/>
    </row>
    <row r="149" spans="1:23">
      <c r="A149" s="9"/>
      <c r="B149" s="405">
        <f t="shared" si="4"/>
        <v>142</v>
      </c>
      <c r="C149" s="405" t="s">
        <v>1072</v>
      </c>
      <c r="D149" s="406"/>
      <c r="E149" s="406"/>
      <c r="F149" s="407">
        <f t="shared" si="5"/>
        <v>1.9600000000000013</v>
      </c>
      <c r="G149" s="406"/>
      <c r="H149" s="408"/>
      <c r="J149" s="409" t="s">
        <v>326</v>
      </c>
      <c r="L149" s="409" t="s">
        <v>970</v>
      </c>
      <c r="N149" s="409" t="s">
        <v>248</v>
      </c>
      <c r="O149" s="380" t="str">
        <f>""</f>
        <v/>
      </c>
      <c r="P149" s="409" t="str">
        <f>""</f>
        <v/>
      </c>
      <c r="Q149" s="380" t="str">
        <f>""</f>
        <v/>
      </c>
      <c r="R149" s="409" t="str">
        <f>""</f>
        <v/>
      </c>
      <c r="S149" s="380" t="str">
        <f>""</f>
        <v/>
      </c>
      <c r="T149" s="409" t="str">
        <f>""</f>
        <v/>
      </c>
      <c r="U149" s="380"/>
      <c r="V149" s="409" t="str">
        <f>""</f>
        <v/>
      </c>
      <c r="W149" s="125"/>
    </row>
    <row r="150" spans="1:23">
      <c r="A150" s="9"/>
      <c r="B150" s="405">
        <f t="shared" si="4"/>
        <v>143</v>
      </c>
      <c r="C150" s="405" t="s">
        <v>1073</v>
      </c>
      <c r="D150" s="406"/>
      <c r="E150" s="406"/>
      <c r="F150" s="407">
        <f t="shared" si="5"/>
        <v>1.9700000000000013</v>
      </c>
      <c r="G150" s="406"/>
      <c r="H150" s="408"/>
      <c r="J150" s="409" t="s">
        <v>330</v>
      </c>
      <c r="L150" s="409" t="s">
        <v>966</v>
      </c>
      <c r="N150" s="409" t="s">
        <v>248</v>
      </c>
      <c r="O150" s="380" t="str">
        <f>""</f>
        <v/>
      </c>
      <c r="P150" s="409" t="str">
        <f>""</f>
        <v/>
      </c>
      <c r="Q150" s="380" t="str">
        <f>""</f>
        <v/>
      </c>
      <c r="R150" s="409" t="str">
        <f>""</f>
        <v/>
      </c>
      <c r="S150" s="380" t="str">
        <f>""</f>
        <v/>
      </c>
      <c r="T150" s="409" t="str">
        <f>""</f>
        <v/>
      </c>
      <c r="U150" s="380"/>
      <c r="V150" s="409" t="str">
        <f>""</f>
        <v/>
      </c>
      <c r="W150" s="125"/>
    </row>
    <row r="151" spans="1:23">
      <c r="A151" s="9"/>
      <c r="B151" s="405">
        <f t="shared" si="4"/>
        <v>144</v>
      </c>
      <c r="C151" s="405" t="s">
        <v>1074</v>
      </c>
      <c r="D151" s="406"/>
      <c r="E151" s="406"/>
      <c r="F151" s="407">
        <f t="shared" si="5"/>
        <v>1.9800000000000013</v>
      </c>
      <c r="G151" s="406"/>
      <c r="H151" s="408"/>
      <c r="J151" s="409" t="s">
        <v>330</v>
      </c>
      <c r="L151" s="409" t="s">
        <v>968</v>
      </c>
      <c r="N151" s="409" t="s">
        <v>248</v>
      </c>
      <c r="O151" s="380" t="str">
        <f>""</f>
        <v/>
      </c>
      <c r="P151" s="409" t="str">
        <f>""</f>
        <v/>
      </c>
      <c r="Q151" s="380" t="str">
        <f>""</f>
        <v/>
      </c>
      <c r="R151" s="409" t="str">
        <f>""</f>
        <v/>
      </c>
      <c r="S151" s="380" t="str">
        <f>""</f>
        <v/>
      </c>
      <c r="T151" s="409" t="str">
        <f>""</f>
        <v/>
      </c>
      <c r="U151" s="380"/>
      <c r="V151" s="409" t="str">
        <f>""</f>
        <v/>
      </c>
      <c r="W151" s="125"/>
    </row>
    <row r="152" spans="1:23">
      <c r="A152" s="9"/>
      <c r="B152" s="405">
        <f t="shared" si="4"/>
        <v>145</v>
      </c>
      <c r="C152" s="405" t="s">
        <v>1075</v>
      </c>
      <c r="D152" s="406"/>
      <c r="E152" s="406"/>
      <c r="F152" s="407">
        <f t="shared" si="5"/>
        <v>1.9900000000000013</v>
      </c>
      <c r="G152" s="406"/>
      <c r="H152" s="408"/>
      <c r="J152" s="409" t="s">
        <v>330</v>
      </c>
      <c r="L152" s="409" t="s">
        <v>970</v>
      </c>
      <c r="N152" s="409" t="s">
        <v>248</v>
      </c>
      <c r="O152" s="380" t="str">
        <f>""</f>
        <v/>
      </c>
      <c r="P152" s="409" t="str">
        <f>""</f>
        <v/>
      </c>
      <c r="Q152" s="380" t="str">
        <f>""</f>
        <v/>
      </c>
      <c r="R152" s="409" t="str">
        <f>""</f>
        <v/>
      </c>
      <c r="S152" s="380" t="str">
        <f>""</f>
        <v/>
      </c>
      <c r="T152" s="409" t="str">
        <f>""</f>
        <v/>
      </c>
      <c r="U152" s="380"/>
      <c r="V152" s="409" t="str">
        <f>""</f>
        <v/>
      </c>
      <c r="W152" s="125"/>
    </row>
    <row r="153" spans="1:23" ht="27">
      <c r="A153" s="9"/>
      <c r="B153" s="405">
        <f t="shared" si="4"/>
        <v>146</v>
      </c>
      <c r="C153" s="405" t="s">
        <v>1076</v>
      </c>
      <c r="D153" s="406"/>
      <c r="E153" s="406"/>
      <c r="F153" s="407">
        <f t="shared" si="5"/>
        <v>2.0000000000000013</v>
      </c>
      <c r="G153" s="406"/>
      <c r="H153" s="408"/>
      <c r="J153" s="409" t="s">
        <v>246</v>
      </c>
      <c r="L153" s="409" t="s">
        <v>966</v>
      </c>
      <c r="N153" s="409" t="s">
        <v>324</v>
      </c>
      <c r="O153" s="380" t="str">
        <f>""</f>
        <v/>
      </c>
      <c r="P153" s="409" t="str">
        <f>""</f>
        <v/>
      </c>
      <c r="Q153" s="380" t="str">
        <f>""</f>
        <v/>
      </c>
      <c r="R153" s="409" t="str">
        <f>""</f>
        <v/>
      </c>
      <c r="S153" s="380" t="str">
        <f>""</f>
        <v/>
      </c>
      <c r="T153" s="409" t="str">
        <f>""</f>
        <v/>
      </c>
      <c r="U153" s="380"/>
      <c r="V153" s="409" t="str">
        <f>""</f>
        <v/>
      </c>
      <c r="W153" s="125"/>
    </row>
    <row r="154" spans="1:23" ht="27">
      <c r="A154" s="9"/>
      <c r="B154" s="405">
        <f t="shared" si="4"/>
        <v>147</v>
      </c>
      <c r="C154" s="405" t="s">
        <v>1077</v>
      </c>
      <c r="D154" s="406"/>
      <c r="E154" s="406"/>
      <c r="F154" s="407">
        <f t="shared" si="5"/>
        <v>2.0100000000000011</v>
      </c>
      <c r="G154" s="406"/>
      <c r="H154" s="408"/>
      <c r="J154" s="409" t="s">
        <v>246</v>
      </c>
      <c r="L154" s="409" t="s">
        <v>968</v>
      </c>
      <c r="N154" s="409" t="s">
        <v>324</v>
      </c>
      <c r="O154" s="380" t="str">
        <f>""</f>
        <v/>
      </c>
      <c r="P154" s="409" t="str">
        <f>""</f>
        <v/>
      </c>
      <c r="Q154" s="380" t="str">
        <f>""</f>
        <v/>
      </c>
      <c r="R154" s="409" t="str">
        <f>""</f>
        <v/>
      </c>
      <c r="S154" s="380" t="str">
        <f>""</f>
        <v/>
      </c>
      <c r="T154" s="409" t="str">
        <f>""</f>
        <v/>
      </c>
      <c r="U154" s="380"/>
      <c r="V154" s="409" t="str">
        <f>""</f>
        <v/>
      </c>
      <c r="W154" s="125"/>
    </row>
    <row r="155" spans="1:23" ht="27">
      <c r="A155" s="9"/>
      <c r="B155" s="405">
        <f t="shared" si="4"/>
        <v>148</v>
      </c>
      <c r="C155" s="405" t="s">
        <v>1078</v>
      </c>
      <c r="D155" s="406"/>
      <c r="E155" s="406"/>
      <c r="F155" s="407">
        <f t="shared" si="5"/>
        <v>2.0200000000000009</v>
      </c>
      <c r="G155" s="406"/>
      <c r="H155" s="408"/>
      <c r="J155" s="409" t="s">
        <v>246</v>
      </c>
      <c r="L155" s="409" t="s">
        <v>970</v>
      </c>
      <c r="N155" s="409" t="s">
        <v>324</v>
      </c>
      <c r="O155" s="380" t="str">
        <f>""</f>
        <v/>
      </c>
      <c r="P155" s="409" t="str">
        <f>""</f>
        <v/>
      </c>
      <c r="Q155" s="380" t="str">
        <f>""</f>
        <v/>
      </c>
      <c r="R155" s="409" t="str">
        <f>""</f>
        <v/>
      </c>
      <c r="S155" s="380" t="str">
        <f>""</f>
        <v/>
      </c>
      <c r="T155" s="409" t="str">
        <f>""</f>
        <v/>
      </c>
      <c r="U155" s="380"/>
      <c r="V155" s="409" t="str">
        <f>""</f>
        <v/>
      </c>
      <c r="W155" s="125"/>
    </row>
    <row r="156" spans="1:23" ht="27">
      <c r="A156" s="9"/>
      <c r="B156" s="405">
        <f t="shared" si="4"/>
        <v>149</v>
      </c>
      <c r="C156" s="405" t="s">
        <v>1079</v>
      </c>
      <c r="D156" s="406"/>
      <c r="E156" s="406"/>
      <c r="F156" s="407">
        <f t="shared" si="5"/>
        <v>2.0300000000000007</v>
      </c>
      <c r="G156" s="406"/>
      <c r="H156" s="408"/>
      <c r="J156" s="409" t="s">
        <v>332</v>
      </c>
      <c r="L156" s="409" t="s">
        <v>966</v>
      </c>
      <c r="N156" s="409" t="s">
        <v>248</v>
      </c>
      <c r="O156" s="380" t="str">
        <f>""</f>
        <v/>
      </c>
      <c r="P156" s="409" t="str">
        <f>""</f>
        <v/>
      </c>
      <c r="Q156" s="380" t="str">
        <f>""</f>
        <v/>
      </c>
      <c r="R156" s="409" t="str">
        <f>""</f>
        <v/>
      </c>
      <c r="S156" s="380" t="str">
        <f>""</f>
        <v/>
      </c>
      <c r="T156" s="409" t="str">
        <f>""</f>
        <v/>
      </c>
      <c r="U156" s="380"/>
      <c r="V156" s="409" t="str">
        <f>""</f>
        <v/>
      </c>
      <c r="W156" s="125"/>
    </row>
    <row r="157" spans="1:23" ht="27">
      <c r="A157" s="9"/>
      <c r="B157" s="405">
        <f t="shared" si="4"/>
        <v>150</v>
      </c>
      <c r="C157" s="405" t="s">
        <v>1080</v>
      </c>
      <c r="D157" s="406"/>
      <c r="E157" s="406"/>
      <c r="F157" s="407">
        <f t="shared" si="5"/>
        <v>2.0400000000000005</v>
      </c>
      <c r="G157" s="406"/>
      <c r="H157" s="408"/>
      <c r="J157" s="409" t="s">
        <v>332</v>
      </c>
      <c r="L157" s="409" t="s">
        <v>968</v>
      </c>
      <c r="N157" s="409" t="s">
        <v>248</v>
      </c>
      <c r="O157" s="380" t="str">
        <f>""</f>
        <v/>
      </c>
      <c r="P157" s="409" t="str">
        <f>""</f>
        <v/>
      </c>
      <c r="Q157" s="380" t="str">
        <f>""</f>
        <v/>
      </c>
      <c r="R157" s="409" t="str">
        <f>""</f>
        <v/>
      </c>
      <c r="S157" s="380" t="str">
        <f>""</f>
        <v/>
      </c>
      <c r="T157" s="409" t="str">
        <f>""</f>
        <v/>
      </c>
      <c r="U157" s="380"/>
      <c r="V157" s="409" t="str">
        <f>""</f>
        <v/>
      </c>
      <c r="W157" s="125"/>
    </row>
    <row r="158" spans="1:23" ht="27">
      <c r="A158" s="9"/>
      <c r="B158" s="405">
        <f t="shared" si="4"/>
        <v>151</v>
      </c>
      <c r="C158" s="405" t="s">
        <v>1081</v>
      </c>
      <c r="D158" s="406"/>
      <c r="E158" s="406"/>
      <c r="F158" s="407">
        <f t="shared" si="5"/>
        <v>2.0500000000000003</v>
      </c>
      <c r="G158" s="406"/>
      <c r="H158" s="408"/>
      <c r="J158" s="409" t="s">
        <v>332</v>
      </c>
      <c r="L158" s="409" t="s">
        <v>970</v>
      </c>
      <c r="N158" s="409" t="s">
        <v>248</v>
      </c>
      <c r="O158" s="380" t="str">
        <f>""</f>
        <v/>
      </c>
      <c r="P158" s="409" t="str">
        <f>""</f>
        <v/>
      </c>
      <c r="Q158" s="380" t="str">
        <f>""</f>
        <v/>
      </c>
      <c r="R158" s="409" t="str">
        <f>""</f>
        <v/>
      </c>
      <c r="S158" s="380" t="str">
        <f>""</f>
        <v/>
      </c>
      <c r="T158" s="409" t="str">
        <f>""</f>
        <v/>
      </c>
      <c r="U158" s="380"/>
      <c r="V158" s="409" t="str">
        <f>""</f>
        <v/>
      </c>
      <c r="W158" s="125"/>
    </row>
    <row r="159" spans="1:23" ht="27">
      <c r="A159" s="9"/>
      <c r="B159" s="405">
        <f t="shared" si="4"/>
        <v>152</v>
      </c>
      <c r="C159" s="405" t="s">
        <v>1082</v>
      </c>
      <c r="D159" s="406"/>
      <c r="E159" s="406"/>
      <c r="F159" s="407">
        <f t="shared" si="5"/>
        <v>2.06</v>
      </c>
      <c r="G159" s="406"/>
      <c r="H159" s="408"/>
      <c r="J159" s="409" t="s">
        <v>334</v>
      </c>
      <c r="L159" s="409" t="s">
        <v>966</v>
      </c>
      <c r="N159" s="409" t="s">
        <v>248</v>
      </c>
      <c r="O159" s="380" t="str">
        <f>""</f>
        <v/>
      </c>
      <c r="P159" s="409" t="str">
        <f>""</f>
        <v/>
      </c>
      <c r="Q159" s="380" t="str">
        <f>""</f>
        <v/>
      </c>
      <c r="R159" s="409" t="str">
        <f>""</f>
        <v/>
      </c>
      <c r="S159" s="380" t="str">
        <f>""</f>
        <v/>
      </c>
      <c r="T159" s="409" t="str">
        <f>""</f>
        <v/>
      </c>
      <c r="U159" s="380"/>
      <c r="V159" s="409" t="str">
        <f>""</f>
        <v/>
      </c>
      <c r="W159" s="125"/>
    </row>
    <row r="160" spans="1:23" ht="27">
      <c r="A160" s="9"/>
      <c r="B160" s="405">
        <f t="shared" si="4"/>
        <v>153</v>
      </c>
      <c r="C160" s="405" t="s">
        <v>1083</v>
      </c>
      <c r="D160" s="406"/>
      <c r="E160" s="406"/>
      <c r="F160" s="407">
        <f t="shared" si="5"/>
        <v>2.0699999999999998</v>
      </c>
      <c r="G160" s="406"/>
      <c r="H160" s="408"/>
      <c r="J160" s="409" t="s">
        <v>334</v>
      </c>
      <c r="L160" s="409" t="s">
        <v>968</v>
      </c>
      <c r="N160" s="409" t="s">
        <v>248</v>
      </c>
      <c r="O160" s="380" t="str">
        <f>""</f>
        <v/>
      </c>
      <c r="P160" s="409" t="str">
        <f>""</f>
        <v/>
      </c>
      <c r="Q160" s="380" t="str">
        <f>""</f>
        <v/>
      </c>
      <c r="R160" s="409" t="str">
        <f>""</f>
        <v/>
      </c>
      <c r="S160" s="380" t="str">
        <f>""</f>
        <v/>
      </c>
      <c r="T160" s="409" t="str">
        <f>""</f>
        <v/>
      </c>
      <c r="U160" s="380"/>
      <c r="V160" s="409" t="str">
        <f>""</f>
        <v/>
      </c>
      <c r="W160" s="125"/>
    </row>
    <row r="161" spans="1:23" ht="27">
      <c r="A161" s="9"/>
      <c r="B161" s="405">
        <f t="shared" si="4"/>
        <v>154</v>
      </c>
      <c r="C161" s="405" t="s">
        <v>1084</v>
      </c>
      <c r="D161" s="406"/>
      <c r="E161" s="406"/>
      <c r="F161" s="407">
        <f t="shared" si="5"/>
        <v>2.0799999999999996</v>
      </c>
      <c r="G161" s="406"/>
      <c r="H161" s="408"/>
      <c r="J161" s="409" t="s">
        <v>334</v>
      </c>
      <c r="L161" s="409" t="s">
        <v>970</v>
      </c>
      <c r="N161" s="409" t="s">
        <v>248</v>
      </c>
      <c r="O161" s="380" t="str">
        <f>""</f>
        <v/>
      </c>
      <c r="P161" s="409" t="str">
        <f>""</f>
        <v/>
      </c>
      <c r="Q161" s="380" t="str">
        <f>""</f>
        <v/>
      </c>
      <c r="R161" s="409" t="str">
        <f>""</f>
        <v/>
      </c>
      <c r="S161" s="380" t="str">
        <f>""</f>
        <v/>
      </c>
      <c r="T161" s="409" t="str">
        <f>""</f>
        <v/>
      </c>
      <c r="U161" s="380"/>
      <c r="V161" s="409" t="str">
        <f>""</f>
        <v/>
      </c>
      <c r="W161" s="125"/>
    </row>
    <row r="162" spans="1:23" ht="27">
      <c r="A162" s="9"/>
      <c r="B162" s="405">
        <f t="shared" si="4"/>
        <v>155</v>
      </c>
      <c r="C162" s="405" t="s">
        <v>1085</v>
      </c>
      <c r="D162" s="406"/>
      <c r="E162" s="406"/>
      <c r="F162" s="407">
        <f t="shared" si="5"/>
        <v>2.0899999999999994</v>
      </c>
      <c r="G162" s="406"/>
      <c r="H162" s="408"/>
      <c r="J162" s="409" t="s">
        <v>338</v>
      </c>
      <c r="L162" s="409" t="s">
        <v>966</v>
      </c>
      <c r="N162" s="409" t="s">
        <v>248</v>
      </c>
      <c r="O162" s="380" t="str">
        <f>""</f>
        <v/>
      </c>
      <c r="P162" s="409" t="str">
        <f>""</f>
        <v/>
      </c>
      <c r="Q162" s="380" t="str">
        <f>""</f>
        <v/>
      </c>
      <c r="R162" s="409" t="str">
        <f>""</f>
        <v/>
      </c>
      <c r="S162" s="380" t="str">
        <f>""</f>
        <v/>
      </c>
      <c r="T162" s="409" t="str">
        <f>""</f>
        <v/>
      </c>
      <c r="U162" s="380"/>
      <c r="V162" s="409" t="str">
        <f>""</f>
        <v/>
      </c>
      <c r="W162" s="125"/>
    </row>
    <row r="163" spans="1:23" ht="27">
      <c r="A163" s="9"/>
      <c r="B163" s="405">
        <f t="shared" si="4"/>
        <v>156</v>
      </c>
      <c r="C163" s="405" t="s">
        <v>1086</v>
      </c>
      <c r="D163" s="406"/>
      <c r="E163" s="406"/>
      <c r="F163" s="407">
        <f t="shared" si="5"/>
        <v>2.0999999999999992</v>
      </c>
      <c r="G163" s="406"/>
      <c r="H163" s="408"/>
      <c r="J163" s="409" t="s">
        <v>338</v>
      </c>
      <c r="L163" s="409" t="s">
        <v>968</v>
      </c>
      <c r="N163" s="409" t="s">
        <v>248</v>
      </c>
      <c r="O163" s="380" t="str">
        <f>""</f>
        <v/>
      </c>
      <c r="P163" s="409" t="str">
        <f>""</f>
        <v/>
      </c>
      <c r="Q163" s="380" t="str">
        <f>""</f>
        <v/>
      </c>
      <c r="R163" s="409" t="str">
        <f>""</f>
        <v/>
      </c>
      <c r="S163" s="380" t="str">
        <f>""</f>
        <v/>
      </c>
      <c r="T163" s="409" t="str">
        <f>""</f>
        <v/>
      </c>
      <c r="U163" s="380"/>
      <c r="V163" s="409" t="str">
        <f>""</f>
        <v/>
      </c>
      <c r="W163" s="125"/>
    </row>
    <row r="164" spans="1:23" ht="27">
      <c r="A164" s="9"/>
      <c r="B164" s="405">
        <f t="shared" si="4"/>
        <v>157</v>
      </c>
      <c r="C164" s="405" t="s">
        <v>1087</v>
      </c>
      <c r="D164" s="406"/>
      <c r="E164" s="406"/>
      <c r="F164" s="407">
        <f t="shared" si="5"/>
        <v>2.109999999999999</v>
      </c>
      <c r="G164" s="406"/>
      <c r="H164" s="408"/>
      <c r="J164" s="409" t="s">
        <v>338</v>
      </c>
      <c r="L164" s="409" t="s">
        <v>970</v>
      </c>
      <c r="N164" s="409" t="s">
        <v>248</v>
      </c>
      <c r="O164" s="380" t="str">
        <f>""</f>
        <v/>
      </c>
      <c r="P164" s="409" t="str">
        <f>""</f>
        <v/>
      </c>
      <c r="Q164" s="380" t="str">
        <f>""</f>
        <v/>
      </c>
      <c r="R164" s="409" t="str">
        <f>""</f>
        <v/>
      </c>
      <c r="S164" s="380" t="str">
        <f>""</f>
        <v/>
      </c>
      <c r="T164" s="409" t="str">
        <f>""</f>
        <v/>
      </c>
      <c r="U164" s="380"/>
      <c r="V164" s="409" t="str">
        <f>""</f>
        <v/>
      </c>
      <c r="W164" s="125"/>
    </row>
    <row r="165" spans="1:23" ht="27">
      <c r="A165" s="9"/>
      <c r="B165" s="405">
        <f t="shared" si="4"/>
        <v>158</v>
      </c>
      <c r="C165" s="405" t="s">
        <v>1088</v>
      </c>
      <c r="D165" s="406"/>
      <c r="E165" s="406"/>
      <c r="F165" s="407">
        <f t="shared" si="5"/>
        <v>2.1199999999999988</v>
      </c>
      <c r="G165" s="406"/>
      <c r="H165" s="408"/>
      <c r="J165" s="409" t="s">
        <v>360</v>
      </c>
      <c r="L165" s="409" t="s">
        <v>966</v>
      </c>
      <c r="N165" s="409" t="s">
        <v>248</v>
      </c>
      <c r="O165" s="380" t="str">
        <f>""</f>
        <v/>
      </c>
      <c r="P165" s="409" t="str">
        <f>""</f>
        <v/>
      </c>
      <c r="Q165" s="380" t="str">
        <f>""</f>
        <v/>
      </c>
      <c r="R165" s="409" t="str">
        <f>""</f>
        <v/>
      </c>
      <c r="S165" s="380" t="str">
        <f>""</f>
        <v/>
      </c>
      <c r="T165" s="409" t="str">
        <f>""</f>
        <v/>
      </c>
      <c r="U165" s="380"/>
      <c r="V165" s="409" t="str">
        <f>""</f>
        <v/>
      </c>
      <c r="W165" s="125"/>
    </row>
    <row r="166" spans="1:23" ht="27">
      <c r="A166" s="9"/>
      <c r="B166" s="405">
        <f t="shared" si="4"/>
        <v>159</v>
      </c>
      <c r="C166" s="405" t="s">
        <v>1089</v>
      </c>
      <c r="D166" s="406"/>
      <c r="E166" s="406"/>
      <c r="F166" s="407">
        <f t="shared" si="5"/>
        <v>2.1299999999999986</v>
      </c>
      <c r="G166" s="406"/>
      <c r="H166" s="408"/>
      <c r="J166" s="409" t="s">
        <v>362</v>
      </c>
      <c r="L166" s="409" t="s">
        <v>966</v>
      </c>
      <c r="N166" s="409" t="s">
        <v>248</v>
      </c>
      <c r="O166" s="380" t="str">
        <f>""</f>
        <v/>
      </c>
      <c r="P166" s="409" t="str">
        <f>""</f>
        <v/>
      </c>
      <c r="Q166" s="380" t="str">
        <f>""</f>
        <v/>
      </c>
      <c r="R166" s="409" t="str">
        <f>""</f>
        <v/>
      </c>
      <c r="S166" s="380" t="str">
        <f>""</f>
        <v/>
      </c>
      <c r="T166" s="409" t="str">
        <f>""</f>
        <v/>
      </c>
      <c r="U166" s="380"/>
      <c r="V166" s="409" t="str">
        <f>""</f>
        <v/>
      </c>
      <c r="W166" s="125"/>
    </row>
    <row r="167" spans="1:23" ht="27">
      <c r="A167" s="9"/>
      <c r="B167" s="405">
        <f t="shared" si="4"/>
        <v>160</v>
      </c>
      <c r="C167" s="405" t="s">
        <v>1090</v>
      </c>
      <c r="D167" s="406"/>
      <c r="E167" s="406"/>
      <c r="F167" s="407">
        <f t="shared" si="5"/>
        <v>2.1399999999999983</v>
      </c>
      <c r="G167" s="406"/>
      <c r="H167" s="408"/>
      <c r="J167" s="409" t="s">
        <v>360</v>
      </c>
      <c r="L167" s="409" t="s">
        <v>968</v>
      </c>
      <c r="N167" s="409" t="s">
        <v>248</v>
      </c>
      <c r="O167" s="380" t="str">
        <f>""</f>
        <v/>
      </c>
      <c r="P167" s="409" t="str">
        <f>""</f>
        <v/>
      </c>
      <c r="Q167" s="380" t="str">
        <f>""</f>
        <v/>
      </c>
      <c r="R167" s="409" t="str">
        <f>""</f>
        <v/>
      </c>
      <c r="S167" s="380" t="str">
        <f>""</f>
        <v/>
      </c>
      <c r="T167" s="409" t="str">
        <f>""</f>
        <v/>
      </c>
      <c r="U167" s="380"/>
      <c r="V167" s="409" t="str">
        <f>""</f>
        <v/>
      </c>
      <c r="W167" s="125"/>
    </row>
    <row r="168" spans="1:23" ht="27">
      <c r="A168" s="9"/>
      <c r="B168" s="405">
        <f t="shared" si="4"/>
        <v>161</v>
      </c>
      <c r="C168" s="405" t="s">
        <v>1091</v>
      </c>
      <c r="D168" s="406"/>
      <c r="E168" s="406"/>
      <c r="F168" s="407">
        <f t="shared" si="5"/>
        <v>2.1499999999999981</v>
      </c>
      <c r="G168" s="406"/>
      <c r="H168" s="408"/>
      <c r="J168" s="409" t="s">
        <v>362</v>
      </c>
      <c r="L168" s="409" t="s">
        <v>968</v>
      </c>
      <c r="N168" s="409" t="s">
        <v>248</v>
      </c>
      <c r="O168" s="380" t="str">
        <f>""</f>
        <v/>
      </c>
      <c r="P168" s="409" t="str">
        <f>""</f>
        <v/>
      </c>
      <c r="Q168" s="380" t="str">
        <f>""</f>
        <v/>
      </c>
      <c r="R168" s="409" t="str">
        <f>""</f>
        <v/>
      </c>
      <c r="S168" s="380" t="str">
        <f>""</f>
        <v/>
      </c>
      <c r="T168" s="409" t="str">
        <f>""</f>
        <v/>
      </c>
      <c r="U168" s="380"/>
      <c r="V168" s="409" t="str">
        <f>""</f>
        <v/>
      </c>
      <c r="W168" s="125"/>
    </row>
    <row r="169" spans="1:23" ht="27">
      <c r="A169" s="9"/>
      <c r="B169" s="405">
        <f t="shared" si="4"/>
        <v>162</v>
      </c>
      <c r="C169" s="405" t="s">
        <v>1092</v>
      </c>
      <c r="D169" s="406"/>
      <c r="E169" s="406"/>
      <c r="F169" s="407">
        <f t="shared" si="5"/>
        <v>2.1599999999999979</v>
      </c>
      <c r="G169" s="406"/>
      <c r="H169" s="408"/>
      <c r="J169" s="409" t="s">
        <v>360</v>
      </c>
      <c r="L169" s="409" t="s">
        <v>970</v>
      </c>
      <c r="N169" s="409" t="s">
        <v>248</v>
      </c>
      <c r="O169" s="380" t="str">
        <f>""</f>
        <v/>
      </c>
      <c r="P169" s="409" t="str">
        <f>""</f>
        <v/>
      </c>
      <c r="Q169" s="380" t="str">
        <f>""</f>
        <v/>
      </c>
      <c r="R169" s="409" t="str">
        <f>""</f>
        <v/>
      </c>
      <c r="S169" s="380" t="str">
        <f>""</f>
        <v/>
      </c>
      <c r="T169" s="409" t="str">
        <f>""</f>
        <v/>
      </c>
      <c r="U169" s="380"/>
      <c r="V169" s="409" t="str">
        <f>""</f>
        <v/>
      </c>
      <c r="W169" s="125"/>
    </row>
    <row r="170" spans="1:23" ht="27">
      <c r="A170" s="9"/>
      <c r="B170" s="405">
        <f t="shared" si="4"/>
        <v>163</v>
      </c>
      <c r="C170" s="405" t="s">
        <v>1093</v>
      </c>
      <c r="D170" s="406"/>
      <c r="E170" s="406"/>
      <c r="F170" s="407">
        <f t="shared" si="5"/>
        <v>2.1699999999999977</v>
      </c>
      <c r="G170" s="406"/>
      <c r="H170" s="408"/>
      <c r="J170" s="409" t="s">
        <v>362</v>
      </c>
      <c r="L170" s="409" t="s">
        <v>970</v>
      </c>
      <c r="N170" s="409" t="s">
        <v>248</v>
      </c>
      <c r="O170" s="380" t="str">
        <f>""</f>
        <v/>
      </c>
      <c r="P170" s="409" t="str">
        <f>""</f>
        <v/>
      </c>
      <c r="Q170" s="380" t="str">
        <f>""</f>
        <v/>
      </c>
      <c r="R170" s="409" t="str">
        <f>""</f>
        <v/>
      </c>
      <c r="S170" s="380" t="str">
        <f>""</f>
        <v/>
      </c>
      <c r="T170" s="409" t="str">
        <f>""</f>
        <v/>
      </c>
      <c r="U170" s="380"/>
      <c r="V170" s="409" t="str">
        <f>""</f>
        <v/>
      </c>
      <c r="W170" s="125"/>
    </row>
    <row r="171" spans="1:23" ht="27">
      <c r="A171" s="9"/>
      <c r="B171" s="405">
        <f t="shared" si="4"/>
        <v>164</v>
      </c>
      <c r="C171" s="405" t="s">
        <v>1094</v>
      </c>
      <c r="D171" s="406"/>
      <c r="E171" s="406"/>
      <c r="F171" s="407">
        <f t="shared" si="5"/>
        <v>2.1799999999999975</v>
      </c>
      <c r="G171" s="406"/>
      <c r="H171" s="408"/>
      <c r="J171" s="409" t="s">
        <v>364</v>
      </c>
      <c r="L171" s="409" t="s">
        <v>966</v>
      </c>
      <c r="N171" s="409" t="s">
        <v>248</v>
      </c>
      <c r="O171" s="380" t="str">
        <f>""</f>
        <v/>
      </c>
      <c r="P171" s="409" t="str">
        <f>""</f>
        <v/>
      </c>
      <c r="Q171" s="380" t="str">
        <f>""</f>
        <v/>
      </c>
      <c r="R171" s="409" t="str">
        <f>""</f>
        <v/>
      </c>
      <c r="S171" s="380" t="str">
        <f>""</f>
        <v/>
      </c>
      <c r="T171" s="409" t="str">
        <f>""</f>
        <v/>
      </c>
      <c r="U171" s="380"/>
      <c r="V171" s="409" t="str">
        <f>""</f>
        <v/>
      </c>
      <c r="W171" s="125"/>
    </row>
    <row r="172" spans="1:23" ht="27">
      <c r="A172" s="9"/>
      <c r="B172" s="405">
        <f t="shared" si="4"/>
        <v>165</v>
      </c>
      <c r="C172" s="405" t="s">
        <v>1095</v>
      </c>
      <c r="D172" s="406"/>
      <c r="E172" s="406"/>
      <c r="F172" s="407">
        <f t="shared" si="5"/>
        <v>2.1899999999999973</v>
      </c>
      <c r="G172" s="406"/>
      <c r="H172" s="408"/>
      <c r="J172" s="409" t="s">
        <v>366</v>
      </c>
      <c r="L172" s="409" t="s">
        <v>966</v>
      </c>
      <c r="N172" s="409" t="s">
        <v>248</v>
      </c>
      <c r="O172" s="380" t="str">
        <f>""</f>
        <v/>
      </c>
      <c r="P172" s="409" t="str">
        <f>""</f>
        <v/>
      </c>
      <c r="Q172" s="380" t="str">
        <f>""</f>
        <v/>
      </c>
      <c r="R172" s="409" t="str">
        <f>""</f>
        <v/>
      </c>
      <c r="S172" s="380" t="str">
        <f>""</f>
        <v/>
      </c>
      <c r="T172" s="409" t="str">
        <f>""</f>
        <v/>
      </c>
      <c r="U172" s="380"/>
      <c r="V172" s="409" t="str">
        <f>""</f>
        <v/>
      </c>
      <c r="W172" s="125"/>
    </row>
    <row r="173" spans="1:23" ht="27">
      <c r="A173" s="9"/>
      <c r="B173" s="405">
        <f t="shared" si="4"/>
        <v>166</v>
      </c>
      <c r="C173" s="405" t="s">
        <v>1096</v>
      </c>
      <c r="D173" s="406"/>
      <c r="E173" s="406"/>
      <c r="F173" s="407">
        <f t="shared" si="5"/>
        <v>2.1999999999999971</v>
      </c>
      <c r="G173" s="406"/>
      <c r="H173" s="408"/>
      <c r="J173" s="409" t="s">
        <v>364</v>
      </c>
      <c r="L173" s="409" t="s">
        <v>968</v>
      </c>
      <c r="N173" s="409" t="s">
        <v>248</v>
      </c>
      <c r="O173" s="380" t="str">
        <f>""</f>
        <v/>
      </c>
      <c r="P173" s="409" t="str">
        <f>""</f>
        <v/>
      </c>
      <c r="Q173" s="380" t="str">
        <f>""</f>
        <v/>
      </c>
      <c r="R173" s="409" t="str">
        <f>""</f>
        <v/>
      </c>
      <c r="S173" s="380" t="str">
        <f>""</f>
        <v/>
      </c>
      <c r="T173" s="409" t="str">
        <f>""</f>
        <v/>
      </c>
      <c r="U173" s="380"/>
      <c r="V173" s="409" t="str">
        <f>""</f>
        <v/>
      </c>
      <c r="W173" s="125"/>
    </row>
    <row r="174" spans="1:23" ht="27">
      <c r="A174" s="9"/>
      <c r="B174" s="405">
        <f t="shared" si="4"/>
        <v>167</v>
      </c>
      <c r="C174" s="405" t="s">
        <v>1097</v>
      </c>
      <c r="D174" s="406"/>
      <c r="E174" s="406"/>
      <c r="F174" s="407">
        <f t="shared" si="5"/>
        <v>2.2099999999999969</v>
      </c>
      <c r="G174" s="406"/>
      <c r="H174" s="408"/>
      <c r="J174" s="409" t="s">
        <v>366</v>
      </c>
      <c r="L174" s="409" t="s">
        <v>968</v>
      </c>
      <c r="N174" s="409" t="s">
        <v>248</v>
      </c>
      <c r="O174" s="380" t="str">
        <f>""</f>
        <v/>
      </c>
      <c r="P174" s="409" t="str">
        <f>""</f>
        <v/>
      </c>
      <c r="Q174" s="380" t="str">
        <f>""</f>
        <v/>
      </c>
      <c r="R174" s="409" t="str">
        <f>""</f>
        <v/>
      </c>
      <c r="S174" s="380" t="str">
        <f>""</f>
        <v/>
      </c>
      <c r="T174" s="409" t="str">
        <f>""</f>
        <v/>
      </c>
      <c r="U174" s="380"/>
      <c r="V174" s="409" t="str">
        <f>""</f>
        <v/>
      </c>
      <c r="W174" s="125"/>
    </row>
    <row r="175" spans="1:23" ht="27">
      <c r="A175" s="9"/>
      <c r="B175" s="405">
        <f t="shared" si="4"/>
        <v>168</v>
      </c>
      <c r="C175" s="405" t="s">
        <v>1098</v>
      </c>
      <c r="D175" s="406"/>
      <c r="E175" s="406"/>
      <c r="F175" s="407">
        <f t="shared" si="5"/>
        <v>2.2199999999999966</v>
      </c>
      <c r="G175" s="406"/>
      <c r="H175" s="408"/>
      <c r="J175" s="409" t="s">
        <v>364</v>
      </c>
      <c r="L175" s="409" t="s">
        <v>970</v>
      </c>
      <c r="N175" s="409" t="s">
        <v>248</v>
      </c>
      <c r="O175" s="380" t="str">
        <f>""</f>
        <v/>
      </c>
      <c r="P175" s="409" t="str">
        <f>""</f>
        <v/>
      </c>
      <c r="Q175" s="380" t="str">
        <f>""</f>
        <v/>
      </c>
      <c r="R175" s="409" t="str">
        <f>""</f>
        <v/>
      </c>
      <c r="S175" s="380" t="str">
        <f>""</f>
        <v/>
      </c>
      <c r="T175" s="409" t="str">
        <f>""</f>
        <v/>
      </c>
      <c r="U175" s="380"/>
      <c r="V175" s="409" t="str">
        <f>""</f>
        <v/>
      </c>
      <c r="W175" s="125"/>
    </row>
    <row r="176" spans="1:23" ht="27">
      <c r="A176" s="9"/>
      <c r="B176" s="405">
        <f t="shared" si="4"/>
        <v>169</v>
      </c>
      <c r="C176" s="405" t="s">
        <v>1099</v>
      </c>
      <c r="D176" s="406"/>
      <c r="E176" s="406"/>
      <c r="F176" s="407">
        <f t="shared" si="5"/>
        <v>2.2299999999999964</v>
      </c>
      <c r="G176" s="406"/>
      <c r="H176" s="408"/>
      <c r="J176" s="409" t="s">
        <v>366</v>
      </c>
      <c r="L176" s="409" t="s">
        <v>970</v>
      </c>
      <c r="N176" s="409" t="s">
        <v>248</v>
      </c>
      <c r="O176" s="380" t="str">
        <f>""</f>
        <v/>
      </c>
      <c r="P176" s="409" t="str">
        <f>""</f>
        <v/>
      </c>
      <c r="Q176" s="380" t="str">
        <f>""</f>
        <v/>
      </c>
      <c r="R176" s="409" t="str">
        <f>""</f>
        <v/>
      </c>
      <c r="S176" s="380" t="str">
        <f>""</f>
        <v/>
      </c>
      <c r="T176" s="409" t="str">
        <f>""</f>
        <v/>
      </c>
      <c r="U176" s="380"/>
      <c r="V176" s="409" t="str">
        <f>""</f>
        <v/>
      </c>
      <c r="W176" s="125"/>
    </row>
    <row r="177" spans="1:23" ht="27">
      <c r="A177" s="9"/>
      <c r="B177" s="405">
        <f t="shared" si="4"/>
        <v>170</v>
      </c>
      <c r="C177" s="405" t="s">
        <v>1100</v>
      </c>
      <c r="D177" s="406"/>
      <c r="E177" s="406"/>
      <c r="F177" s="407">
        <f t="shared" si="5"/>
        <v>2.2399999999999962</v>
      </c>
      <c r="G177" s="406"/>
      <c r="H177" s="408"/>
      <c r="J177" s="409" t="s">
        <v>360</v>
      </c>
      <c r="L177" s="409" t="s">
        <v>966</v>
      </c>
      <c r="N177" s="409" t="s">
        <v>336</v>
      </c>
      <c r="O177" s="380" t="str">
        <f>""</f>
        <v/>
      </c>
      <c r="P177" s="409" t="str">
        <f>""</f>
        <v/>
      </c>
      <c r="Q177" s="380" t="str">
        <f>""</f>
        <v/>
      </c>
      <c r="R177" s="409" t="str">
        <f>""</f>
        <v/>
      </c>
      <c r="S177" s="380" t="str">
        <f>""</f>
        <v/>
      </c>
      <c r="T177" s="409" t="str">
        <f>""</f>
        <v/>
      </c>
      <c r="U177" s="380"/>
      <c r="V177" s="409" t="str">
        <f>""</f>
        <v/>
      </c>
      <c r="W177" s="125"/>
    </row>
    <row r="178" spans="1:23" ht="27">
      <c r="A178" s="9"/>
      <c r="B178" s="405">
        <f t="shared" si="4"/>
        <v>171</v>
      </c>
      <c r="C178" s="405" t="s">
        <v>1101</v>
      </c>
      <c r="D178" s="406"/>
      <c r="E178" s="406"/>
      <c r="F178" s="407">
        <f t="shared" si="5"/>
        <v>2.249999999999996</v>
      </c>
      <c r="G178" s="406"/>
      <c r="H178" s="408"/>
      <c r="J178" s="409" t="s">
        <v>362</v>
      </c>
      <c r="L178" s="409" t="s">
        <v>966</v>
      </c>
      <c r="N178" s="409" t="s">
        <v>336</v>
      </c>
      <c r="O178" s="380" t="str">
        <f>""</f>
        <v/>
      </c>
      <c r="P178" s="409" t="str">
        <f>""</f>
        <v/>
      </c>
      <c r="Q178" s="380" t="str">
        <f>""</f>
        <v/>
      </c>
      <c r="R178" s="409" t="str">
        <f>""</f>
        <v/>
      </c>
      <c r="S178" s="380" t="str">
        <f>""</f>
        <v/>
      </c>
      <c r="T178" s="409" t="str">
        <f>""</f>
        <v/>
      </c>
      <c r="U178" s="380"/>
      <c r="V178" s="409" t="str">
        <f>""</f>
        <v/>
      </c>
      <c r="W178" s="125"/>
    </row>
    <row r="179" spans="1:23" ht="27">
      <c r="A179" s="9"/>
      <c r="B179" s="405">
        <f t="shared" si="4"/>
        <v>172</v>
      </c>
      <c r="C179" s="405" t="s">
        <v>1102</v>
      </c>
      <c r="D179" s="406"/>
      <c r="E179" s="406"/>
      <c r="F179" s="407">
        <f t="shared" si="5"/>
        <v>2.2599999999999958</v>
      </c>
      <c r="G179" s="406"/>
      <c r="H179" s="408"/>
      <c r="J179" s="409" t="s">
        <v>360</v>
      </c>
      <c r="L179" s="409" t="s">
        <v>968</v>
      </c>
      <c r="N179" s="409" t="s">
        <v>336</v>
      </c>
      <c r="O179" s="380" t="str">
        <f>""</f>
        <v/>
      </c>
      <c r="P179" s="409" t="str">
        <f>""</f>
        <v/>
      </c>
      <c r="Q179" s="380" t="str">
        <f>""</f>
        <v/>
      </c>
      <c r="R179" s="409" t="str">
        <f>""</f>
        <v/>
      </c>
      <c r="S179" s="380" t="str">
        <f>""</f>
        <v/>
      </c>
      <c r="T179" s="409" t="str">
        <f>""</f>
        <v/>
      </c>
      <c r="U179" s="380"/>
      <c r="V179" s="409" t="str">
        <f>""</f>
        <v/>
      </c>
      <c r="W179" s="125"/>
    </row>
    <row r="180" spans="1:23" ht="27">
      <c r="A180" s="9"/>
      <c r="B180" s="405">
        <f t="shared" si="4"/>
        <v>173</v>
      </c>
      <c r="C180" s="405" t="s">
        <v>1103</v>
      </c>
      <c r="D180" s="406"/>
      <c r="E180" s="406"/>
      <c r="F180" s="407">
        <f t="shared" si="5"/>
        <v>2.2699999999999956</v>
      </c>
      <c r="G180" s="406"/>
      <c r="H180" s="408"/>
      <c r="J180" s="409" t="s">
        <v>362</v>
      </c>
      <c r="L180" s="409" t="s">
        <v>968</v>
      </c>
      <c r="N180" s="409" t="s">
        <v>336</v>
      </c>
      <c r="O180" s="380" t="str">
        <f>""</f>
        <v/>
      </c>
      <c r="P180" s="409" t="str">
        <f>""</f>
        <v/>
      </c>
      <c r="Q180" s="380" t="str">
        <f>""</f>
        <v/>
      </c>
      <c r="R180" s="409" t="str">
        <f>""</f>
        <v/>
      </c>
      <c r="S180" s="380" t="str">
        <f>""</f>
        <v/>
      </c>
      <c r="T180" s="409" t="str">
        <f>""</f>
        <v/>
      </c>
      <c r="U180" s="380"/>
      <c r="V180" s="409" t="str">
        <f>""</f>
        <v/>
      </c>
      <c r="W180" s="125"/>
    </row>
    <row r="181" spans="1:23" ht="27">
      <c r="A181" s="9"/>
      <c r="B181" s="405">
        <f t="shared" si="4"/>
        <v>174</v>
      </c>
      <c r="C181" s="405" t="s">
        <v>1104</v>
      </c>
      <c r="D181" s="406"/>
      <c r="E181" s="406"/>
      <c r="F181" s="407">
        <f t="shared" si="5"/>
        <v>2.2799999999999954</v>
      </c>
      <c r="G181" s="406"/>
      <c r="H181" s="408"/>
      <c r="J181" s="409" t="s">
        <v>360</v>
      </c>
      <c r="L181" s="409" t="s">
        <v>970</v>
      </c>
      <c r="N181" s="409" t="s">
        <v>336</v>
      </c>
      <c r="O181" s="380" t="str">
        <f>""</f>
        <v/>
      </c>
      <c r="P181" s="409" t="str">
        <f>""</f>
        <v/>
      </c>
      <c r="Q181" s="380" t="str">
        <f>""</f>
        <v/>
      </c>
      <c r="R181" s="409" t="str">
        <f>""</f>
        <v/>
      </c>
      <c r="S181" s="380" t="str">
        <f>""</f>
        <v/>
      </c>
      <c r="T181" s="409" t="str">
        <f>""</f>
        <v/>
      </c>
      <c r="U181" s="380"/>
      <c r="V181" s="409" t="str">
        <f>""</f>
        <v/>
      </c>
      <c r="W181" s="125"/>
    </row>
    <row r="182" spans="1:23" ht="27">
      <c r="A182" s="9"/>
      <c r="B182" s="405">
        <f t="shared" si="4"/>
        <v>175</v>
      </c>
      <c r="C182" s="405" t="s">
        <v>1105</v>
      </c>
      <c r="D182" s="406"/>
      <c r="E182" s="406"/>
      <c r="F182" s="407">
        <f t="shared" si="5"/>
        <v>2.2899999999999952</v>
      </c>
      <c r="G182" s="406"/>
      <c r="H182" s="408"/>
      <c r="J182" s="409" t="s">
        <v>362</v>
      </c>
      <c r="L182" s="409" t="s">
        <v>970</v>
      </c>
      <c r="N182" s="409" t="s">
        <v>336</v>
      </c>
      <c r="O182" s="380" t="str">
        <f>""</f>
        <v/>
      </c>
      <c r="P182" s="409" t="str">
        <f>""</f>
        <v/>
      </c>
      <c r="Q182" s="380" t="str">
        <f>""</f>
        <v/>
      </c>
      <c r="R182" s="409" t="str">
        <f>""</f>
        <v/>
      </c>
      <c r="S182" s="380" t="str">
        <f>""</f>
        <v/>
      </c>
      <c r="T182" s="409" t="str">
        <f>""</f>
        <v/>
      </c>
      <c r="U182" s="380"/>
      <c r="V182" s="409" t="str">
        <f>""</f>
        <v/>
      </c>
      <c r="W182" s="125"/>
    </row>
    <row r="183" spans="1:23" ht="27">
      <c r="A183" s="9"/>
      <c r="B183" s="405">
        <f t="shared" si="4"/>
        <v>176</v>
      </c>
      <c r="C183" s="405" t="s">
        <v>1106</v>
      </c>
      <c r="D183" s="406"/>
      <c r="E183" s="406"/>
      <c r="F183" s="407">
        <f t="shared" si="5"/>
        <v>2.2999999999999949</v>
      </c>
      <c r="G183" s="406"/>
      <c r="H183" s="408"/>
      <c r="J183" s="409" t="s">
        <v>364</v>
      </c>
      <c r="L183" s="409" t="s">
        <v>966</v>
      </c>
      <c r="N183" s="409" t="s">
        <v>336</v>
      </c>
      <c r="O183" s="380" t="str">
        <f>""</f>
        <v/>
      </c>
      <c r="P183" s="409" t="str">
        <f>""</f>
        <v/>
      </c>
      <c r="Q183" s="380" t="str">
        <f>""</f>
        <v/>
      </c>
      <c r="R183" s="409" t="str">
        <f>""</f>
        <v/>
      </c>
      <c r="S183" s="380" t="str">
        <f>""</f>
        <v/>
      </c>
      <c r="T183" s="409" t="str">
        <f>""</f>
        <v/>
      </c>
      <c r="U183" s="380"/>
      <c r="V183" s="409" t="str">
        <f>""</f>
        <v/>
      </c>
      <c r="W183" s="125"/>
    </row>
    <row r="184" spans="1:23" ht="27">
      <c r="A184" s="9"/>
      <c r="B184" s="405">
        <f t="shared" si="4"/>
        <v>177</v>
      </c>
      <c r="C184" s="405" t="s">
        <v>1107</v>
      </c>
      <c r="D184" s="406"/>
      <c r="E184" s="406"/>
      <c r="F184" s="407">
        <f t="shared" si="5"/>
        <v>2.3099999999999947</v>
      </c>
      <c r="G184" s="406"/>
      <c r="H184" s="408"/>
      <c r="J184" s="409" t="s">
        <v>366</v>
      </c>
      <c r="L184" s="409" t="s">
        <v>966</v>
      </c>
      <c r="N184" s="409" t="s">
        <v>336</v>
      </c>
      <c r="O184" s="380" t="str">
        <f>""</f>
        <v/>
      </c>
      <c r="P184" s="409" t="str">
        <f>""</f>
        <v/>
      </c>
      <c r="Q184" s="380" t="str">
        <f>""</f>
        <v/>
      </c>
      <c r="R184" s="409" t="str">
        <f>""</f>
        <v/>
      </c>
      <c r="S184" s="380" t="str">
        <f>""</f>
        <v/>
      </c>
      <c r="T184" s="409" t="str">
        <f>""</f>
        <v/>
      </c>
      <c r="U184" s="380"/>
      <c r="V184" s="409" t="str">
        <f>""</f>
        <v/>
      </c>
      <c r="W184" s="125"/>
    </row>
    <row r="185" spans="1:23" ht="27">
      <c r="A185" s="9"/>
      <c r="B185" s="405">
        <f t="shared" si="4"/>
        <v>178</v>
      </c>
      <c r="C185" s="405" t="s">
        <v>1108</v>
      </c>
      <c r="D185" s="406"/>
      <c r="E185" s="406"/>
      <c r="F185" s="407">
        <f t="shared" si="5"/>
        <v>2.3199999999999945</v>
      </c>
      <c r="G185" s="406"/>
      <c r="H185" s="408"/>
      <c r="J185" s="409" t="s">
        <v>364</v>
      </c>
      <c r="L185" s="409" t="s">
        <v>968</v>
      </c>
      <c r="N185" s="409" t="s">
        <v>336</v>
      </c>
      <c r="O185" s="380" t="str">
        <f>""</f>
        <v/>
      </c>
      <c r="P185" s="409" t="str">
        <f>""</f>
        <v/>
      </c>
      <c r="Q185" s="380" t="str">
        <f>""</f>
        <v/>
      </c>
      <c r="R185" s="409" t="str">
        <f>""</f>
        <v/>
      </c>
      <c r="S185" s="380" t="str">
        <f>""</f>
        <v/>
      </c>
      <c r="T185" s="409" t="str">
        <f>""</f>
        <v/>
      </c>
      <c r="U185" s="380"/>
      <c r="V185" s="409" t="str">
        <f>""</f>
        <v/>
      </c>
      <c r="W185" s="125"/>
    </row>
    <row r="186" spans="1:23" ht="27">
      <c r="A186" s="9"/>
      <c r="B186" s="405">
        <f t="shared" si="4"/>
        <v>179</v>
      </c>
      <c r="C186" s="405" t="s">
        <v>1109</v>
      </c>
      <c r="D186" s="406"/>
      <c r="E186" s="406"/>
      <c r="F186" s="407">
        <f t="shared" si="5"/>
        <v>2.3299999999999943</v>
      </c>
      <c r="G186" s="406"/>
      <c r="H186" s="408"/>
      <c r="J186" s="409" t="s">
        <v>366</v>
      </c>
      <c r="L186" s="409" t="s">
        <v>968</v>
      </c>
      <c r="N186" s="409" t="s">
        <v>336</v>
      </c>
      <c r="O186" s="380" t="str">
        <f>""</f>
        <v/>
      </c>
      <c r="P186" s="409" t="str">
        <f>""</f>
        <v/>
      </c>
      <c r="Q186" s="380" t="str">
        <f>""</f>
        <v/>
      </c>
      <c r="R186" s="409" t="str">
        <f>""</f>
        <v/>
      </c>
      <c r="S186" s="380" t="str">
        <f>""</f>
        <v/>
      </c>
      <c r="T186" s="409" t="str">
        <f>""</f>
        <v/>
      </c>
      <c r="U186" s="380"/>
      <c r="V186" s="409" t="str">
        <f>""</f>
        <v/>
      </c>
      <c r="W186" s="125"/>
    </row>
    <row r="187" spans="1:23" ht="27">
      <c r="A187" s="9"/>
      <c r="B187" s="405">
        <f t="shared" si="4"/>
        <v>180</v>
      </c>
      <c r="C187" s="405" t="s">
        <v>1110</v>
      </c>
      <c r="D187" s="406"/>
      <c r="E187" s="406"/>
      <c r="F187" s="407">
        <f t="shared" si="5"/>
        <v>2.3399999999999941</v>
      </c>
      <c r="G187" s="406"/>
      <c r="H187" s="408"/>
      <c r="J187" s="409" t="s">
        <v>364</v>
      </c>
      <c r="L187" s="409" t="s">
        <v>970</v>
      </c>
      <c r="N187" s="409" t="s">
        <v>336</v>
      </c>
      <c r="O187" s="380" t="str">
        <f>""</f>
        <v/>
      </c>
      <c r="P187" s="409" t="str">
        <f>""</f>
        <v/>
      </c>
      <c r="Q187" s="380" t="str">
        <f>""</f>
        <v/>
      </c>
      <c r="R187" s="409" t="str">
        <f>""</f>
        <v/>
      </c>
      <c r="S187" s="380" t="str">
        <f>""</f>
        <v/>
      </c>
      <c r="T187" s="409" t="str">
        <f>""</f>
        <v/>
      </c>
      <c r="U187" s="380"/>
      <c r="V187" s="409" t="str">
        <f>""</f>
        <v/>
      </c>
      <c r="W187" s="125"/>
    </row>
    <row r="188" spans="1:23" ht="27">
      <c r="A188" s="9"/>
      <c r="B188" s="405">
        <f t="shared" si="4"/>
        <v>181</v>
      </c>
      <c r="C188" s="405" t="s">
        <v>1111</v>
      </c>
      <c r="D188" s="406"/>
      <c r="E188" s="406"/>
      <c r="F188" s="407">
        <f t="shared" si="5"/>
        <v>2.3499999999999939</v>
      </c>
      <c r="G188" s="406"/>
      <c r="H188" s="408"/>
      <c r="J188" s="409" t="s">
        <v>366</v>
      </c>
      <c r="L188" s="409" t="s">
        <v>970</v>
      </c>
      <c r="N188" s="409" t="s">
        <v>336</v>
      </c>
      <c r="O188" s="380" t="str">
        <f>""</f>
        <v/>
      </c>
      <c r="P188" s="409" t="str">
        <f>""</f>
        <v/>
      </c>
      <c r="Q188" s="380" t="str">
        <f>""</f>
        <v/>
      </c>
      <c r="R188" s="409" t="str">
        <f>""</f>
        <v/>
      </c>
      <c r="S188" s="380" t="str">
        <f>""</f>
        <v/>
      </c>
      <c r="T188" s="409" t="str">
        <f>""</f>
        <v/>
      </c>
      <c r="U188" s="380"/>
      <c r="V188" s="409" t="str">
        <f>""</f>
        <v/>
      </c>
      <c r="W188" s="125"/>
    </row>
    <row r="189" spans="1:23">
      <c r="A189" s="9"/>
      <c r="B189" s="405">
        <f t="shared" si="4"/>
        <v>182</v>
      </c>
      <c r="C189" s="405" t="s">
        <v>1112</v>
      </c>
      <c r="D189" s="406"/>
      <c r="E189" s="406"/>
      <c r="F189" s="407">
        <f t="shared" si="5"/>
        <v>2.3599999999999937</v>
      </c>
      <c r="G189" s="406"/>
      <c r="H189" s="408"/>
      <c r="J189" s="409" t="s">
        <v>246</v>
      </c>
      <c r="L189" s="409" t="s">
        <v>966</v>
      </c>
      <c r="N189" s="409" t="s">
        <v>246</v>
      </c>
      <c r="P189" s="409" t="s">
        <v>966</v>
      </c>
      <c r="R189" s="409" t="s">
        <v>246</v>
      </c>
      <c r="S189" s="380" t="str">
        <f>""</f>
        <v/>
      </c>
      <c r="T189" s="409" t="str">
        <f>""</f>
        <v/>
      </c>
      <c r="U189" s="380"/>
      <c r="V189" s="409" t="str">
        <f>""</f>
        <v/>
      </c>
      <c r="W189" s="125"/>
    </row>
    <row r="190" spans="1:23">
      <c r="A190" s="9"/>
      <c r="B190" s="405">
        <f t="shared" si="4"/>
        <v>183</v>
      </c>
      <c r="C190" s="405" t="s">
        <v>1113</v>
      </c>
      <c r="D190" s="406"/>
      <c r="E190" s="406"/>
      <c r="F190" s="407">
        <f t="shared" si="5"/>
        <v>2.3699999999999934</v>
      </c>
      <c r="G190" s="406"/>
      <c r="H190" s="408"/>
      <c r="J190" s="409" t="s">
        <v>246</v>
      </c>
      <c r="L190" s="409" t="s">
        <v>968</v>
      </c>
      <c r="N190" s="409" t="s">
        <v>246</v>
      </c>
      <c r="P190" s="409" t="s">
        <v>968</v>
      </c>
      <c r="R190" s="409" t="s">
        <v>246</v>
      </c>
      <c r="S190" s="380" t="str">
        <f>""</f>
        <v/>
      </c>
      <c r="T190" s="409" t="str">
        <f>""</f>
        <v/>
      </c>
      <c r="U190" s="380"/>
      <c r="V190" s="409" t="str">
        <f>""</f>
        <v/>
      </c>
      <c r="W190" s="125"/>
    </row>
    <row r="191" spans="1:23">
      <c r="A191" s="9"/>
      <c r="B191" s="405">
        <f t="shared" si="4"/>
        <v>184</v>
      </c>
      <c r="C191" s="405" t="s">
        <v>1114</v>
      </c>
      <c r="D191" s="406"/>
      <c r="E191" s="406"/>
      <c r="F191" s="407">
        <f t="shared" si="5"/>
        <v>2.3799999999999932</v>
      </c>
      <c r="G191" s="406"/>
      <c r="H191" s="408"/>
      <c r="J191" s="409" t="s">
        <v>246</v>
      </c>
      <c r="L191" s="409" t="s">
        <v>970</v>
      </c>
      <c r="N191" s="409" t="s">
        <v>246</v>
      </c>
      <c r="P191" s="409" t="s">
        <v>970</v>
      </c>
      <c r="R191" s="409" t="s">
        <v>246</v>
      </c>
      <c r="S191" s="380" t="str">
        <f>""</f>
        <v/>
      </c>
      <c r="T191" s="409" t="str">
        <f>""</f>
        <v/>
      </c>
      <c r="U191" s="380"/>
      <c r="V191" s="409" t="str">
        <f>""</f>
        <v/>
      </c>
      <c r="W191" s="125"/>
    </row>
    <row r="192" spans="1:23">
      <c r="A192" s="9"/>
      <c r="B192" s="405">
        <f t="shared" si="4"/>
        <v>185</v>
      </c>
      <c r="C192" s="405" t="s">
        <v>1115</v>
      </c>
      <c r="D192" s="406"/>
      <c r="E192" s="406"/>
      <c r="F192" s="407">
        <f t="shared" si="5"/>
        <v>2.389999999999993</v>
      </c>
      <c r="G192" s="406"/>
      <c r="H192" s="408"/>
      <c r="J192" s="409" t="s">
        <v>246</v>
      </c>
      <c r="L192" s="409" t="s">
        <v>966</v>
      </c>
      <c r="N192" s="409" t="s">
        <v>246</v>
      </c>
      <c r="P192" s="409" t="s">
        <v>966</v>
      </c>
      <c r="R192" s="409" t="s">
        <v>324</v>
      </c>
      <c r="S192" s="380" t="str">
        <f>""</f>
        <v/>
      </c>
      <c r="T192" s="409" t="str">
        <f>""</f>
        <v/>
      </c>
      <c r="U192" s="380"/>
      <c r="V192" s="409" t="str">
        <f>""</f>
        <v/>
      </c>
      <c r="W192" s="125"/>
    </row>
    <row r="193" spans="1:23">
      <c r="A193" s="9"/>
      <c r="B193" s="405">
        <f t="shared" si="4"/>
        <v>186</v>
      </c>
      <c r="C193" s="405" t="s">
        <v>1116</v>
      </c>
      <c r="D193" s="406"/>
      <c r="E193" s="406"/>
      <c r="F193" s="407">
        <f t="shared" si="5"/>
        <v>2.3999999999999928</v>
      </c>
      <c r="G193" s="406"/>
      <c r="H193" s="408"/>
      <c r="J193" s="409" t="s">
        <v>246</v>
      </c>
      <c r="L193" s="409" t="s">
        <v>968</v>
      </c>
      <c r="N193" s="409" t="s">
        <v>246</v>
      </c>
      <c r="P193" s="409" t="s">
        <v>968</v>
      </c>
      <c r="R193" s="409" t="s">
        <v>324</v>
      </c>
      <c r="S193" s="380" t="str">
        <f>""</f>
        <v/>
      </c>
      <c r="T193" s="409" t="str">
        <f>""</f>
        <v/>
      </c>
      <c r="U193" s="380"/>
      <c r="V193" s="409" t="str">
        <f>""</f>
        <v/>
      </c>
      <c r="W193" s="125"/>
    </row>
    <row r="194" spans="1:23">
      <c r="A194" s="9"/>
      <c r="B194" s="405">
        <f t="shared" si="4"/>
        <v>187</v>
      </c>
      <c r="C194" s="405" t="s">
        <v>1117</v>
      </c>
      <c r="D194" s="406"/>
      <c r="E194" s="406"/>
      <c r="F194" s="407">
        <f t="shared" si="5"/>
        <v>2.4099999999999926</v>
      </c>
      <c r="G194" s="406"/>
      <c r="H194" s="408"/>
      <c r="J194" s="409" t="s">
        <v>246</v>
      </c>
      <c r="L194" s="409" t="s">
        <v>970</v>
      </c>
      <c r="N194" s="409" t="s">
        <v>246</v>
      </c>
      <c r="P194" s="409" t="s">
        <v>970</v>
      </c>
      <c r="R194" s="409" t="s">
        <v>324</v>
      </c>
      <c r="S194" s="380" t="str">
        <f>""</f>
        <v/>
      </c>
      <c r="T194" s="409" t="str">
        <f>""</f>
        <v/>
      </c>
      <c r="U194" s="380"/>
      <c r="V194" s="409" t="str">
        <f>""</f>
        <v/>
      </c>
      <c r="W194" s="125"/>
    </row>
    <row r="195" spans="1:23">
      <c r="A195" s="9"/>
      <c r="B195" s="405">
        <f t="shared" si="4"/>
        <v>188</v>
      </c>
      <c r="C195" s="405" t="s">
        <v>1118</v>
      </c>
      <c r="D195" s="406"/>
      <c r="E195" s="406"/>
      <c r="F195" s="407">
        <f t="shared" si="5"/>
        <v>2.4199999999999924</v>
      </c>
      <c r="G195" s="406"/>
      <c r="H195" s="408"/>
      <c r="J195" s="409" t="s">
        <v>322</v>
      </c>
      <c r="L195" s="409" t="s">
        <v>966</v>
      </c>
      <c r="N195" s="409" t="s">
        <v>246</v>
      </c>
      <c r="P195" s="409" t="s">
        <v>966</v>
      </c>
      <c r="R195" s="409" t="s">
        <v>324</v>
      </c>
      <c r="S195" s="380" t="str">
        <f>""</f>
        <v/>
      </c>
      <c r="T195" s="409" t="str">
        <f>""</f>
        <v/>
      </c>
      <c r="U195" s="380"/>
      <c r="V195" s="409" t="str">
        <f>""</f>
        <v/>
      </c>
      <c r="W195" s="125"/>
    </row>
    <row r="196" spans="1:23">
      <c r="A196" s="9"/>
      <c r="B196" s="405">
        <f t="shared" si="4"/>
        <v>189</v>
      </c>
      <c r="C196" s="405" t="s">
        <v>1119</v>
      </c>
      <c r="D196" s="406"/>
      <c r="E196" s="406"/>
      <c r="F196" s="407">
        <f t="shared" si="5"/>
        <v>2.4299999999999922</v>
      </c>
      <c r="G196" s="406"/>
      <c r="H196" s="408"/>
      <c r="J196" s="409" t="s">
        <v>322</v>
      </c>
      <c r="L196" s="409" t="s">
        <v>968</v>
      </c>
      <c r="N196" s="409" t="s">
        <v>246</v>
      </c>
      <c r="P196" s="409" t="s">
        <v>968</v>
      </c>
      <c r="R196" s="409" t="s">
        <v>324</v>
      </c>
      <c r="S196" s="380" t="str">
        <f>""</f>
        <v/>
      </c>
      <c r="T196" s="409" t="str">
        <f>""</f>
        <v/>
      </c>
      <c r="U196" s="380"/>
      <c r="V196" s="409" t="str">
        <f>""</f>
        <v/>
      </c>
      <c r="W196" s="125"/>
    </row>
    <row r="197" spans="1:23">
      <c r="A197" s="9"/>
      <c r="B197" s="405">
        <f t="shared" si="4"/>
        <v>190</v>
      </c>
      <c r="C197" s="405" t="s">
        <v>1120</v>
      </c>
      <c r="D197" s="406"/>
      <c r="E197" s="406"/>
      <c r="F197" s="407">
        <f t="shared" si="5"/>
        <v>2.439999999999992</v>
      </c>
      <c r="G197" s="406"/>
      <c r="H197" s="408"/>
      <c r="J197" s="409" t="s">
        <v>322</v>
      </c>
      <c r="L197" s="409" t="s">
        <v>970</v>
      </c>
      <c r="N197" s="409" t="s">
        <v>246</v>
      </c>
      <c r="P197" s="409" t="s">
        <v>970</v>
      </c>
      <c r="R197" s="409" t="s">
        <v>324</v>
      </c>
      <c r="S197" s="380" t="str">
        <f>""</f>
        <v/>
      </c>
      <c r="T197" s="409" t="str">
        <f>""</f>
        <v/>
      </c>
      <c r="U197" s="380"/>
      <c r="V197" s="409" t="str">
        <f>""</f>
        <v/>
      </c>
      <c r="W197" s="125"/>
    </row>
    <row r="198" spans="1:23">
      <c r="A198" s="9"/>
      <c r="B198" s="405">
        <f t="shared" si="4"/>
        <v>191</v>
      </c>
      <c r="C198" s="405" t="s">
        <v>1121</v>
      </c>
      <c r="D198" s="406"/>
      <c r="E198" s="406"/>
      <c r="F198" s="407">
        <f t="shared" si="5"/>
        <v>2.4499999999999917</v>
      </c>
      <c r="G198" s="406"/>
      <c r="H198" s="408"/>
      <c r="J198" s="409" t="s">
        <v>246</v>
      </c>
      <c r="L198" s="409" t="s">
        <v>966</v>
      </c>
      <c r="N198" s="409" t="s">
        <v>340</v>
      </c>
      <c r="P198" s="409" t="s">
        <v>966</v>
      </c>
      <c r="R198" s="409" t="s">
        <v>246</v>
      </c>
      <c r="S198" s="380" t="str">
        <f>""</f>
        <v/>
      </c>
      <c r="T198" s="409" t="str">
        <f>""</f>
        <v/>
      </c>
      <c r="U198" s="380"/>
      <c r="V198" s="409" t="str">
        <f>""</f>
        <v/>
      </c>
      <c r="W198" s="125"/>
    </row>
    <row r="199" spans="1:23">
      <c r="A199" s="9"/>
      <c r="B199" s="405">
        <f t="shared" si="4"/>
        <v>192</v>
      </c>
      <c r="C199" s="405" t="s">
        <v>1122</v>
      </c>
      <c r="D199" s="406"/>
      <c r="E199" s="406"/>
      <c r="F199" s="407">
        <f t="shared" si="5"/>
        <v>2.4599999999999915</v>
      </c>
      <c r="G199" s="406"/>
      <c r="H199" s="408"/>
      <c r="J199" s="409" t="s">
        <v>246</v>
      </c>
      <c r="L199" s="409" t="s">
        <v>968</v>
      </c>
      <c r="N199" s="409" t="s">
        <v>340</v>
      </c>
      <c r="P199" s="409" t="s">
        <v>968</v>
      </c>
      <c r="R199" s="409" t="s">
        <v>246</v>
      </c>
      <c r="S199" s="380" t="str">
        <f>""</f>
        <v/>
      </c>
      <c r="T199" s="409" t="str">
        <f>""</f>
        <v/>
      </c>
      <c r="U199" s="380"/>
      <c r="V199" s="409" t="str">
        <f>""</f>
        <v/>
      </c>
      <c r="W199" s="125"/>
    </row>
    <row r="200" spans="1:23">
      <c r="A200" s="9"/>
      <c r="B200" s="405">
        <f t="shared" si="4"/>
        <v>193</v>
      </c>
      <c r="C200" s="405" t="s">
        <v>1123</v>
      </c>
      <c r="D200" s="406"/>
      <c r="E200" s="406"/>
      <c r="F200" s="407">
        <f t="shared" si="5"/>
        <v>2.4699999999999913</v>
      </c>
      <c r="G200" s="406"/>
      <c r="H200" s="408"/>
      <c r="J200" s="409" t="s">
        <v>246</v>
      </c>
      <c r="L200" s="409" t="s">
        <v>966</v>
      </c>
      <c r="N200" s="409" t="s">
        <v>342</v>
      </c>
      <c r="P200" s="409" t="s">
        <v>966</v>
      </c>
      <c r="R200" s="409" t="s">
        <v>246</v>
      </c>
      <c r="S200" s="380" t="str">
        <f>""</f>
        <v/>
      </c>
      <c r="T200" s="409" t="str">
        <f>""</f>
        <v/>
      </c>
      <c r="U200" s="380"/>
      <c r="V200" s="409" t="str">
        <f>""</f>
        <v/>
      </c>
      <c r="W200" s="125"/>
    </row>
    <row r="201" spans="1:23">
      <c r="A201" s="9"/>
      <c r="B201" s="405">
        <f t="shared" ref="B201:B214" si="6">B200+1</f>
        <v>194</v>
      </c>
      <c r="C201" s="405" t="s">
        <v>1124</v>
      </c>
      <c r="D201" s="406"/>
      <c r="E201" s="406"/>
      <c r="F201" s="407">
        <f t="shared" ref="F201:F213" si="7">F200+0.01</f>
        <v>2.4799999999999911</v>
      </c>
      <c r="G201" s="406"/>
      <c r="H201" s="408"/>
      <c r="J201" s="409" t="s">
        <v>246</v>
      </c>
      <c r="L201" s="409" t="s">
        <v>968</v>
      </c>
      <c r="N201" s="409" t="s">
        <v>342</v>
      </c>
      <c r="P201" s="409" t="s">
        <v>968</v>
      </c>
      <c r="R201" s="409" t="s">
        <v>246</v>
      </c>
      <c r="S201" s="380" t="str">
        <f>""</f>
        <v/>
      </c>
      <c r="T201" s="409" t="str">
        <f>""</f>
        <v/>
      </c>
      <c r="U201" s="380"/>
      <c r="V201" s="409" t="str">
        <f>""</f>
        <v/>
      </c>
      <c r="W201" s="125"/>
    </row>
    <row r="202" spans="1:23">
      <c r="A202" s="9"/>
      <c r="B202" s="405">
        <f t="shared" si="6"/>
        <v>195</v>
      </c>
      <c r="C202" s="405" t="s">
        <v>1125</v>
      </c>
      <c r="D202" s="406"/>
      <c r="E202" s="406"/>
      <c r="F202" s="407">
        <f t="shared" si="7"/>
        <v>2.4899999999999909</v>
      </c>
      <c r="G202" s="406"/>
      <c r="H202" s="408"/>
      <c r="J202" s="409" t="s">
        <v>248</v>
      </c>
      <c r="L202" s="409" t="s">
        <v>966</v>
      </c>
      <c r="N202" s="409" t="s">
        <v>344</v>
      </c>
      <c r="P202" s="409" t="s">
        <v>966</v>
      </c>
      <c r="R202" s="409" t="s">
        <v>248</v>
      </c>
      <c r="S202" s="380" t="str">
        <f>""</f>
        <v/>
      </c>
      <c r="T202" s="409" t="str">
        <f>""</f>
        <v/>
      </c>
      <c r="U202" s="380"/>
      <c r="V202" s="409" t="str">
        <f>""</f>
        <v/>
      </c>
      <c r="W202" s="125"/>
    </row>
    <row r="203" spans="1:23">
      <c r="A203" s="9"/>
      <c r="B203" s="405">
        <f t="shared" si="6"/>
        <v>196</v>
      </c>
      <c r="C203" s="405" t="s">
        <v>1126</v>
      </c>
      <c r="D203" s="406"/>
      <c r="E203" s="406"/>
      <c r="F203" s="407">
        <f t="shared" si="7"/>
        <v>2.4999999999999907</v>
      </c>
      <c r="G203" s="406"/>
      <c r="H203" s="408"/>
      <c r="J203" s="409" t="s">
        <v>248</v>
      </c>
      <c r="L203" s="409" t="s">
        <v>968</v>
      </c>
      <c r="N203" s="409" t="s">
        <v>344</v>
      </c>
      <c r="P203" s="409" t="s">
        <v>968</v>
      </c>
      <c r="R203" s="409" t="s">
        <v>248</v>
      </c>
      <c r="S203" s="380" t="str">
        <f>""</f>
        <v/>
      </c>
      <c r="T203" s="409" t="str">
        <f>""</f>
        <v/>
      </c>
      <c r="U203" s="380"/>
      <c r="V203" s="409" t="str">
        <f>""</f>
        <v/>
      </c>
      <c r="W203" s="125"/>
    </row>
    <row r="204" spans="1:23">
      <c r="A204" s="9"/>
      <c r="B204" s="405">
        <f t="shared" si="6"/>
        <v>197</v>
      </c>
      <c r="C204" s="405" t="s">
        <v>1127</v>
      </c>
      <c r="D204" s="406"/>
      <c r="E204" s="406"/>
      <c r="F204" s="407">
        <f t="shared" si="7"/>
        <v>2.5099999999999905</v>
      </c>
      <c r="G204" s="406"/>
      <c r="H204" s="408"/>
      <c r="J204" s="409" t="s">
        <v>254</v>
      </c>
      <c r="L204" s="409" t="s">
        <v>966</v>
      </c>
      <c r="N204" s="409" t="s">
        <v>344</v>
      </c>
      <c r="P204" s="409" t="s">
        <v>966</v>
      </c>
      <c r="R204" s="409" t="s">
        <v>248</v>
      </c>
      <c r="S204" s="380" t="str">
        <f>""</f>
        <v/>
      </c>
      <c r="T204" s="409" t="str">
        <f>""</f>
        <v/>
      </c>
      <c r="U204" s="380"/>
      <c r="V204" s="409" t="str">
        <f>""</f>
        <v/>
      </c>
      <c r="W204" s="125"/>
    </row>
    <row r="205" spans="1:23">
      <c r="A205" s="9"/>
      <c r="B205" s="405">
        <f t="shared" si="6"/>
        <v>198</v>
      </c>
      <c r="C205" s="405" t="s">
        <v>1128</v>
      </c>
      <c r="D205" s="406"/>
      <c r="E205" s="406"/>
      <c r="F205" s="407">
        <f t="shared" si="7"/>
        <v>2.5199999999999902</v>
      </c>
      <c r="G205" s="406"/>
      <c r="H205" s="408"/>
      <c r="J205" s="409" t="s">
        <v>254</v>
      </c>
      <c r="L205" s="409" t="s">
        <v>968</v>
      </c>
      <c r="N205" s="409" t="s">
        <v>344</v>
      </c>
      <c r="P205" s="409" t="s">
        <v>968</v>
      </c>
      <c r="R205" s="409" t="s">
        <v>248</v>
      </c>
      <c r="S205" s="380" t="str">
        <f>""</f>
        <v/>
      </c>
      <c r="T205" s="409" t="str">
        <f>""</f>
        <v/>
      </c>
      <c r="U205" s="380"/>
      <c r="V205" s="409" t="str">
        <f>""</f>
        <v/>
      </c>
      <c r="W205" s="125"/>
    </row>
    <row r="206" spans="1:23">
      <c r="A206" s="9"/>
      <c r="B206" s="405">
        <f t="shared" si="6"/>
        <v>199</v>
      </c>
      <c r="C206" s="405" t="s">
        <v>1129</v>
      </c>
      <c r="D206" s="406"/>
      <c r="E206" s="406"/>
      <c r="F206" s="407">
        <f t="shared" si="7"/>
        <v>2.52999999999999</v>
      </c>
      <c r="G206" s="406"/>
      <c r="H206" s="408"/>
      <c r="J206" s="409" t="s">
        <v>248</v>
      </c>
      <c r="L206" s="409" t="s">
        <v>966</v>
      </c>
      <c r="N206" s="409" t="s">
        <v>346</v>
      </c>
      <c r="P206" s="409" t="s">
        <v>966</v>
      </c>
      <c r="R206" s="409" t="s">
        <v>248</v>
      </c>
      <c r="S206" s="380" t="str">
        <f>""</f>
        <v/>
      </c>
      <c r="T206" s="409" t="str">
        <f>""</f>
        <v/>
      </c>
      <c r="U206" s="380"/>
      <c r="V206" s="409" t="str">
        <f>""</f>
        <v/>
      </c>
      <c r="W206" s="125"/>
    </row>
    <row r="207" spans="1:23">
      <c r="A207" s="9"/>
      <c r="B207" s="405">
        <f t="shared" si="6"/>
        <v>200</v>
      </c>
      <c r="C207" s="405" t="s">
        <v>1130</v>
      </c>
      <c r="D207" s="406"/>
      <c r="E207" s="406"/>
      <c r="F207" s="407">
        <f t="shared" si="7"/>
        <v>2.5399999999999898</v>
      </c>
      <c r="G207" s="406"/>
      <c r="H207" s="408"/>
      <c r="J207" s="409" t="s">
        <v>248</v>
      </c>
      <c r="L207" s="409" t="s">
        <v>968</v>
      </c>
      <c r="N207" s="409" t="s">
        <v>346</v>
      </c>
      <c r="P207" s="409" t="s">
        <v>968</v>
      </c>
      <c r="R207" s="409" t="s">
        <v>248</v>
      </c>
      <c r="S207" s="380" t="str">
        <f>""</f>
        <v/>
      </c>
      <c r="T207" s="409" t="str">
        <f>""</f>
        <v/>
      </c>
      <c r="U207" s="380"/>
      <c r="V207" s="409" t="str">
        <f>""</f>
        <v/>
      </c>
      <c r="W207" s="125"/>
    </row>
    <row r="208" spans="1:23">
      <c r="A208" s="9"/>
      <c r="B208" s="405">
        <f t="shared" si="6"/>
        <v>201</v>
      </c>
      <c r="C208" s="405" t="s">
        <v>1131</v>
      </c>
      <c r="D208" s="406"/>
      <c r="E208" s="406"/>
      <c r="F208" s="407">
        <f t="shared" si="7"/>
        <v>2.5499999999999896</v>
      </c>
      <c r="G208" s="406"/>
      <c r="H208" s="408"/>
      <c r="J208" s="409" t="s">
        <v>254</v>
      </c>
      <c r="L208" s="409" t="s">
        <v>966</v>
      </c>
      <c r="N208" s="409" t="s">
        <v>346</v>
      </c>
      <c r="P208" s="409" t="s">
        <v>966</v>
      </c>
      <c r="R208" s="409" t="s">
        <v>248</v>
      </c>
      <c r="S208" s="380" t="str">
        <f>""</f>
        <v/>
      </c>
      <c r="T208" s="409" t="str">
        <f>""</f>
        <v/>
      </c>
      <c r="U208" s="380"/>
      <c r="V208" s="409" t="str">
        <f>""</f>
        <v/>
      </c>
      <c r="W208" s="125"/>
    </row>
    <row r="209" spans="1:23">
      <c r="A209" s="9"/>
      <c r="B209" s="405">
        <f t="shared" si="6"/>
        <v>202</v>
      </c>
      <c r="C209" s="405" t="s">
        <v>1132</v>
      </c>
      <c r="D209" s="406"/>
      <c r="E209" s="406"/>
      <c r="F209" s="407">
        <f t="shared" si="7"/>
        <v>2.5599999999999894</v>
      </c>
      <c r="G209" s="406"/>
      <c r="H209" s="408"/>
      <c r="J209" s="409" t="s">
        <v>254</v>
      </c>
      <c r="L209" s="409" t="s">
        <v>968</v>
      </c>
      <c r="N209" s="409" t="s">
        <v>346</v>
      </c>
      <c r="P209" s="409" t="s">
        <v>968</v>
      </c>
      <c r="R209" s="409" t="s">
        <v>248</v>
      </c>
      <c r="S209" s="380" t="str">
        <f>""</f>
        <v/>
      </c>
      <c r="T209" s="409" t="str">
        <f>""</f>
        <v/>
      </c>
      <c r="U209" s="380"/>
      <c r="V209" s="409" t="str">
        <f>""</f>
        <v/>
      </c>
      <c r="W209" s="125"/>
    </row>
    <row r="210" spans="1:23">
      <c r="A210" s="9"/>
      <c r="B210" s="405">
        <f t="shared" si="6"/>
        <v>203</v>
      </c>
      <c r="C210" s="405" t="s">
        <v>1133</v>
      </c>
      <c r="D210" s="406"/>
      <c r="E210" s="406"/>
      <c r="F210" s="407">
        <f t="shared" si="7"/>
        <v>2.5699999999999892</v>
      </c>
      <c r="G210" s="406"/>
      <c r="H210" s="408"/>
      <c r="J210" s="409" t="s">
        <v>254</v>
      </c>
      <c r="L210" s="409" t="s">
        <v>966</v>
      </c>
      <c r="N210" s="409" t="s">
        <v>348</v>
      </c>
      <c r="P210" s="409" t="s">
        <v>966</v>
      </c>
      <c r="R210" s="409" t="s">
        <v>248</v>
      </c>
      <c r="S210" s="380" t="str">
        <f>""</f>
        <v/>
      </c>
      <c r="T210" s="409" t="str">
        <f>""</f>
        <v/>
      </c>
      <c r="U210" s="380"/>
      <c r="V210" s="409" t="str">
        <f>""</f>
        <v/>
      </c>
      <c r="W210" s="125"/>
    </row>
    <row r="211" spans="1:23">
      <c r="A211" s="9"/>
      <c r="B211" s="405">
        <f t="shared" si="6"/>
        <v>204</v>
      </c>
      <c r="C211" s="405" t="s">
        <v>1134</v>
      </c>
      <c r="D211" s="406"/>
      <c r="E211" s="406"/>
      <c r="F211" s="407">
        <f t="shared" si="7"/>
        <v>2.579999999999989</v>
      </c>
      <c r="G211" s="406"/>
      <c r="H211" s="408"/>
      <c r="J211" s="409" t="s">
        <v>254</v>
      </c>
      <c r="L211" s="409" t="s">
        <v>968</v>
      </c>
      <c r="N211" s="409" t="s">
        <v>348</v>
      </c>
      <c r="P211" s="409" t="s">
        <v>968</v>
      </c>
      <c r="R211" s="409" t="s">
        <v>248</v>
      </c>
      <c r="S211" s="380" t="str">
        <f>""</f>
        <v/>
      </c>
      <c r="T211" s="409" t="str">
        <f>""</f>
        <v/>
      </c>
      <c r="U211" s="380"/>
      <c r="V211" s="409" t="str">
        <f>""</f>
        <v/>
      </c>
      <c r="W211" s="125"/>
    </row>
    <row r="212" spans="1:23">
      <c r="A212" s="9"/>
      <c r="B212" s="405">
        <f t="shared" si="6"/>
        <v>205</v>
      </c>
      <c r="C212" s="405" t="s">
        <v>1135</v>
      </c>
      <c r="D212" s="406"/>
      <c r="E212" s="406"/>
      <c r="F212" s="407">
        <f t="shared" si="7"/>
        <v>2.5899999999999888</v>
      </c>
      <c r="G212" s="406"/>
      <c r="H212" s="408"/>
      <c r="J212" s="409" t="s">
        <v>254</v>
      </c>
      <c r="L212" s="409" t="s">
        <v>966</v>
      </c>
      <c r="N212" s="409" t="s">
        <v>350</v>
      </c>
      <c r="P212" s="409" t="s">
        <v>966</v>
      </c>
      <c r="R212" s="409" t="s">
        <v>248</v>
      </c>
      <c r="S212" s="380" t="str">
        <f>""</f>
        <v/>
      </c>
      <c r="T212" s="409" t="str">
        <f>""</f>
        <v/>
      </c>
      <c r="U212" s="380"/>
      <c r="V212" s="409" t="str">
        <f>""</f>
        <v/>
      </c>
      <c r="W212" s="125"/>
    </row>
    <row r="213" spans="1:23">
      <c r="A213" s="9"/>
      <c r="B213" s="405">
        <f t="shared" si="6"/>
        <v>206</v>
      </c>
      <c r="C213" s="405" t="s">
        <v>1136</v>
      </c>
      <c r="D213" s="406"/>
      <c r="E213" s="406"/>
      <c r="F213" s="407">
        <f t="shared" si="7"/>
        <v>2.5999999999999885</v>
      </c>
      <c r="G213" s="406"/>
      <c r="H213" s="408"/>
      <c r="J213" s="409" t="s">
        <v>254</v>
      </c>
      <c r="L213" s="409" t="s">
        <v>968</v>
      </c>
      <c r="N213" s="409" t="s">
        <v>350</v>
      </c>
      <c r="P213" s="409" t="s">
        <v>968</v>
      </c>
      <c r="R213" s="409" t="s">
        <v>248</v>
      </c>
      <c r="S213" s="380" t="str">
        <f>""</f>
        <v/>
      </c>
      <c r="T213" s="409" t="str">
        <f>""</f>
        <v/>
      </c>
      <c r="U213" s="380"/>
      <c r="V213" s="409" t="str">
        <f>""</f>
        <v/>
      </c>
      <c r="W213" s="125"/>
    </row>
    <row r="214" spans="1:23">
      <c r="A214" s="9"/>
      <c r="B214" s="405">
        <f t="shared" si="6"/>
        <v>207</v>
      </c>
      <c r="C214" s="405" t="s">
        <v>1137</v>
      </c>
      <c r="D214" s="406"/>
      <c r="E214" s="406"/>
      <c r="F214" s="407">
        <v>3</v>
      </c>
      <c r="G214" s="406"/>
      <c r="H214" s="408"/>
      <c r="J214" s="409" t="s">
        <v>246</v>
      </c>
      <c r="L214" s="409" t="s">
        <v>1138</v>
      </c>
      <c r="N214" s="409" t="s">
        <v>340</v>
      </c>
      <c r="P214" s="409" t="s">
        <v>1139</v>
      </c>
      <c r="R214" s="409" t="s">
        <v>340</v>
      </c>
      <c r="T214" s="409" t="s">
        <v>1138</v>
      </c>
      <c r="U214" s="380"/>
      <c r="V214" s="380" t="s">
        <v>246</v>
      </c>
      <c r="W214" s="125"/>
    </row>
    <row r="215" spans="1:23">
      <c r="A215" s="9"/>
      <c r="B215" s="125" t="str">
        <f>""</f>
        <v/>
      </c>
      <c r="C215" s="76" t="str">
        <f>""</f>
        <v/>
      </c>
      <c r="D215" s="76"/>
      <c r="E215" s="76"/>
      <c r="F215" s="408"/>
      <c r="G215" s="76"/>
      <c r="H215" s="410"/>
      <c r="I215" s="76"/>
      <c r="J215" s="410" t="str">
        <f>""</f>
        <v/>
      </c>
      <c r="K215" s="76"/>
      <c r="L215" s="410" t="str">
        <f>""</f>
        <v/>
      </c>
      <c r="M215" s="76"/>
      <c r="N215" s="410" t="str">
        <f>""</f>
        <v/>
      </c>
      <c r="O215" s="76"/>
      <c r="P215" s="410" t="str">
        <f>""</f>
        <v/>
      </c>
      <c r="Q215" s="76"/>
      <c r="R215" s="410" t="str">
        <f>""</f>
        <v/>
      </c>
      <c r="S215" s="76"/>
      <c r="T215" s="410" t="str">
        <f>""</f>
        <v/>
      </c>
      <c r="U215" s="76"/>
      <c r="V215" s="76" t="str">
        <f>""</f>
        <v/>
      </c>
      <c r="W215" s="125"/>
    </row>
    <row r="216" spans="1:23"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</row>
  </sheetData>
  <mergeCells count="12">
    <mergeCell ref="B2:E2"/>
    <mergeCell ref="B3:C3"/>
    <mergeCell ref="F3:G3"/>
    <mergeCell ref="I3:V3"/>
    <mergeCell ref="H4:H5"/>
    <mergeCell ref="I4:J4"/>
    <mergeCell ref="K4:L4"/>
    <mergeCell ref="M4:N4"/>
    <mergeCell ref="O4:P4"/>
    <mergeCell ref="Q4:R4"/>
    <mergeCell ref="S4:T4"/>
    <mergeCell ref="U4:V4"/>
  </mergeCells>
  <pageMargins left="0.78749999999999998" right="0.78749999999999998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1"/>
  <sheetViews>
    <sheetView zoomScaleNormal="100" zoomScalePageLayoutView="60" workbookViewId="0"/>
  </sheetViews>
  <sheetFormatPr defaultRowHeight="14.25"/>
  <cols>
    <col min="1" max="1" width="62.5" style="1"/>
    <col min="2" max="2" width="12" style="1"/>
    <col min="3" max="3" width="44.875" style="1"/>
    <col min="4" max="4" width="12" style="1"/>
    <col min="5" max="5" width="6" style="1"/>
    <col min="6" max="1025" width="12" style="1"/>
  </cols>
  <sheetData>
    <row r="1" spans="1:16">
      <c r="A1" s="412"/>
      <c r="B1" s="412"/>
    </row>
    <row r="2" spans="1:16">
      <c r="A2" s="412" t="s">
        <v>1140</v>
      </c>
      <c r="B2" s="412"/>
    </row>
    <row r="3" spans="1:16">
      <c r="A3" s="412" t="s">
        <v>1141</v>
      </c>
      <c r="B3" s="412"/>
    </row>
    <row r="4" spans="1:16">
      <c r="A4" s="412"/>
      <c r="B4" s="412"/>
    </row>
    <row r="5" spans="1:16">
      <c r="A5" s="412"/>
      <c r="B5" s="412"/>
    </row>
    <row r="6" spans="1:16">
      <c r="A6" s="412"/>
      <c r="B6" s="412"/>
    </row>
    <row r="7" spans="1:16">
      <c r="A7" s="412" t="str">
        <f>IF(CONSTRUCTIONS!$D7="","","Construction,")</f>
        <v>Construction,</v>
      </c>
      <c r="B7" s="412" t="str">
        <f>IF(CONSTRUCTIONS!$D7="","","! From user CONSTRUCTIONS spreadhseet, Project Name:  "&amp;CONSTRUCTIONS!$D7&amp;". ")</f>
        <v xml:space="preserve">! From user CONSTRUCTIONS spreadhseet, Project Name:  Mass walls. </v>
      </c>
    </row>
    <row r="8" spans="1:16" ht="12.4" customHeight="1">
      <c r="A8" s="412" t="str">
        <f>IF(CONSTRUCTIONS!$D7="","","    Cons "&amp;CONSTRUCTIONS!$B7&amp;",")</f>
        <v xml:space="preserve">    Cons EW1,</v>
      </c>
      <c r="B8" s="412" t="str">
        <f>IF(CONSTRUCTIONS!$D7="","",IF(CONSTRUCTIONS!$F7="","!   based user material selection.","!   based on template "&amp;CONSTRUCTIONS!$G7&amp;"."))</f>
        <v>!   based on template Composite Concrete/Foam/Concrete With Plastic Connectors.</v>
      </c>
    </row>
    <row r="9" spans="1:16" ht="13.35" customHeight="1">
      <c r="A9" s="412" t="str">
        <f>IF(CONSTRUCTIONS!$D7="","",IF(CONSTRUCTIONS!$M7="","ERROR!",IF(VLOOKUP(CONSTRUCTIONS!$M7,Data!$D$3:$E$407,2,0)="","    "&amp;CONSTRUCTIONS!$M7,"    "&amp;VLOOKUP(CONSTRUCTIONS!$M7,Data!$D$3:$E$407,2,0)&amp;" "&amp;CONSTRUCTIONS!$M7)&amp;IF(CONSTRUCTIONS!$Q7="",";",",")))</f>
        <v xml:space="preserve">    Composite Concrete/Foam/Concrete With Plastic Connectors #3,</v>
      </c>
      <c r="B9" s="412" t="str">
        <f>IF(CONSTRUCTIONS!$D7="","","! Layer 1")</f>
        <v>! Layer 1</v>
      </c>
    </row>
    <row r="10" spans="1:16">
      <c r="A10" s="412" t="str">
        <f>IF(CONSTRUCTIONS!$D7="","",IF(OR(CONSTRUCTIONS!$Q7="", CONSTRUCTIONS!$Q7="None"),"",IF(VLOOKUP(CONSTRUCTIONS!$Q7,Data!$D$3:$E$407,2,0)="","    "&amp;CONSTRUCTIONS!$Q7,"    "&amp;VLOOKUP(CONSTRUCTIONS!$Q7,Data!$D$3:$E$407,2,0)&amp;" "&amp;CONSTRUCTIONS!$Q7)&amp;IF(CONSTRUCTIONS!$U7="",";",",")))</f>
        <v xml:space="preserve">    Composite Concrete/Foam/Concrete With Plastic Connectors #2,</v>
      </c>
      <c r="B10" s="412" t="str">
        <f>IF(CONSTRUCTIONS!$D7="","","! Layer 2")</f>
        <v>! Layer 2</v>
      </c>
    </row>
    <row r="11" spans="1:16">
      <c r="A11" s="412" t="str">
        <f>IF(CONSTRUCTIONS!$D7="","",IF(OR(CONSTRUCTIONS!$Q7="", CONSTRUCTIONS!$Q7="None"),"",IF(VLOOKUP(CONSTRUCTIONS!$U7,Data!$D$3:$E$407,2,0)="","    "&amp;CONSTRUCTIONS!$U7,"    "&amp;VLOOKUP(CONSTRUCTIONS!$U7,Data!$D$3:$E$407,2,0)&amp;" "&amp;CONSTRUCTIONS!$U7)&amp;IF(CONSTRUCTIONS!$Y7="",";",",")))</f>
        <v xml:space="preserve">    Composite Concrete/Foam/Concrete With Plastic Connectors #1,</v>
      </c>
      <c r="B11" s="412" t="str">
        <f>IF(CONSTRUCTIONS!$D7="","","! Layer 3")</f>
        <v>! Layer 3</v>
      </c>
    </row>
    <row r="12" spans="1:16">
      <c r="A12" s="412" t="e">
        <f>IF(CONSTRUCTIONS!$D7="","",IF(OR(CONSTRUCTIONS!$Q7="", CONSTRUCTIONS!$Q7="None"),"",IF(VLOOKUP(CONSTRUCTIONS!$Y7,Data!$D$3:$E$407,2,0)="","    "&amp;CONSTRUCTIONS!$Y7,"    "&amp;VLOOKUP(CONSTRUCTIONS!$Y7,Data!$D$3:$E$407,2,0)&amp;" "&amp;CONSTRUCTIONS!$Y7)&amp;IF(CONSTRUCTIONS!$AC7="",";",",")))</f>
        <v>#N/A</v>
      </c>
      <c r="B12" s="412" t="str">
        <f>IF(CONSTRUCTIONS!$D7="","","! Layer 4")</f>
        <v>! Layer 4</v>
      </c>
    </row>
    <row r="13" spans="1:16">
      <c r="A13" s="412" t="e">
        <f>IF(CONSTRUCTIONS!$D7="","",IF(OR(CONSTRUCTIONS!$Q7="", CONSTRUCTIONS!$Q7="None"),"",IF(VLOOKUP(CONSTRUCTIONS!$AC7,Data!$D$3:$E$407,2,0)="","    "&amp;CONSTRUCTIONS!$AC7,"    "&amp;VLOOKUP(CONSTRUCTIONS!$AC7,Data!$D$3:$E$407,2,0)&amp;" "&amp;CONSTRUCTIONS!$AC7)&amp;";"))</f>
        <v>#N/A</v>
      </c>
      <c r="B13" s="412" t="str">
        <f>IF(CONSTRUCTIONS!$D7="","","! Layer 5")</f>
        <v>! Layer 5</v>
      </c>
      <c r="P13" s="412" t="str">
        <f>IF(CONSTRUCTIONS!$D7="","",IF(CONSTRUCTIONS!$AM7="","",IF(VLOOKUP(CONSTRUCTIONS!$AM7,Data!$D$3:$E$407,2,0)="","    "&amp;CONSTRUCTIONS!$AM7,"    "&amp;VLOOKUP(CONSTRUCTIONS!$AM7,Data!$D$3:$E$407,2,0)&amp;" "&amp;CONSTRUCTIONS!$AM7)&amp;IF(CONSTRUCTIONS!$AP7="",";",",")))</f>
        <v/>
      </c>
    </row>
    <row r="14" spans="1:16">
      <c r="A14" s="412"/>
      <c r="B14" s="412"/>
    </row>
    <row r="15" spans="1:16">
      <c r="A15" s="412" t="str">
        <f>IF(CONSTRUCTIONS!$D8="","","Construction,")</f>
        <v>Construction,</v>
      </c>
      <c r="B15" s="412" t="str">
        <f>IF(CONSTRUCTIONS!$D8="","","! From user CONSTRUCTIONS spreadhseet, Project Name:  "&amp;CONSTRUCTIONS!$D8&amp;". ")</f>
        <v xml:space="preserve">! From user CONSTRUCTIONS spreadhseet, Project Name:  Ext Walls 2. </v>
      </c>
    </row>
    <row r="16" spans="1:16">
      <c r="A16" s="412" t="str">
        <f>IF(CONSTRUCTIONS!$D8="","","    Cons "&amp;CONSTRUCTIONS!$B8&amp;",")</f>
        <v xml:space="preserve">    Cons EW2,</v>
      </c>
      <c r="B16" s="412" t="str">
        <f>IF(CONSTRUCTIONS!$D8="","",IF(CONSTRUCTIONS!$F8="","!   based user material selection.","!   based on template "&amp;CONSTRUCTIONS!$G8&amp;"."))</f>
        <v>!   based on template Composite 2x4 Wood Stud R11.</v>
      </c>
    </row>
    <row r="17" spans="1:2">
      <c r="A17" s="412" t="str">
        <f>IF(CONSTRUCTIONS!$D8="","",IF(CONSTRUCTIONS!$M8="","ERROR!",IF(VLOOKUP(CONSTRUCTIONS!$M8,Data!$D$3:$E$407,2,0)="","    "&amp;CONSTRUCTIONS!$M8,"    "&amp;VLOOKUP(CONSTRUCTIONS!$M8,Data!$D$3:$E$407,2,0)&amp;" "&amp;CONSTRUCTIONS!$M8)&amp;IF(CONSTRUCTIONS!$Q8="",";",",")))</f>
        <v xml:space="preserve">    Composite 2x4 Wood Stud R11 #3,</v>
      </c>
      <c r="B17" s="412" t="str">
        <f>IF(CONSTRUCTIONS!$D8="","","! Layer 1")</f>
        <v>! Layer 1</v>
      </c>
    </row>
    <row r="18" spans="1:2">
      <c r="A18" s="412" t="str">
        <f>IF(CONSTRUCTIONS!$D8="","",IF(CONSTRUCTIONS!$Q8="","",IF(VLOOKUP(CONSTRUCTIONS!$Q8,Data!$D$3:$E$407,2,0)="","    "&amp;CONSTRUCTIONS!$Q8,"    "&amp;VLOOKUP(CONSTRUCTIONS!$Q8,Data!$D$3:$E$407,2,0)&amp;" "&amp;CONSTRUCTIONS!$Q8)&amp;IF(CONSTRUCTIONS!$U8="",";",",")))</f>
        <v xml:space="preserve">    Composite 2x4 Wood Stud R11 #2,</v>
      </c>
      <c r="B18" s="412" t="str">
        <f>IF(CONSTRUCTIONS!$D8="","","! Layer 2")</f>
        <v>! Layer 2</v>
      </c>
    </row>
    <row r="19" spans="1:2">
      <c r="A19" s="412" t="str">
        <f>IF(CONSTRUCTIONS!$D8="","",IF(CONSTRUCTIONS!$U8="","",IF(VLOOKUP(CONSTRUCTIONS!$U8,Data!$D$3:$E$407,2,0)="","    "&amp;CONSTRUCTIONS!$U8,"    "&amp;VLOOKUP(CONSTRUCTIONS!$U8,Data!$D$3:$E$407,2,0)&amp;" "&amp;CONSTRUCTIONS!$U8)&amp;IF(CONSTRUCTIONS!$Y8="",";",",")))</f>
        <v xml:space="preserve">    Composite 2x4 Wood Stud R11 #1,</v>
      </c>
      <c r="B19" s="412" t="str">
        <f>IF(CONSTRUCTIONS!$D8="","","! Layer 3")</f>
        <v>! Layer 3</v>
      </c>
    </row>
    <row r="20" spans="1:2">
      <c r="A20" s="412" t="e">
        <f>IF(CONSTRUCTIONS!$D8="","",IF(CONSTRUCTIONS!$Y8="","",IF(VLOOKUP(CONSTRUCTIONS!$Y8,Data!$D$3:$E$407,2,0)="","    "&amp;CONSTRUCTIONS!$Y8,"    "&amp;VLOOKUP(CONSTRUCTIONS!$Y8,Data!$D$3:$E$407,2,0)&amp;" "&amp;CONSTRUCTIONS!$Y8)&amp;IF(CONSTRUCTIONS!$AC8="",";",",")))</f>
        <v>#N/A</v>
      </c>
      <c r="B20" s="412" t="str">
        <f>IF(CONSTRUCTIONS!$D8="","","! Layer 4")</f>
        <v>! Layer 4</v>
      </c>
    </row>
    <row r="21" spans="1:2">
      <c r="A21" s="412" t="str">
        <f>IF(CONSTRUCTIONS!$D8="","",IF(CONSTRUCTIONS!$AC8="","",IF(VLOOKUP(CONSTRUCTIONS!$AC8,Data!$D$3:$E$407,2,0)="","    "&amp;CONSTRUCTIONS!$AC8,"    "&amp;VLOOKUP(CONSTRUCTIONS!$AC8,Data!$D$3:$E$407,2,0)&amp;" "&amp;CONSTRUCTIONS!$AC8)&amp;";"))</f>
        <v/>
      </c>
      <c r="B21" s="412" t="str">
        <f>IF(CONSTRUCTIONS!$D8="","","! Layer 5")</f>
        <v>! Layer 5</v>
      </c>
    </row>
    <row r="22" spans="1:2">
      <c r="A22" s="412"/>
      <c r="B22" s="412"/>
    </row>
    <row r="23" spans="1:2">
      <c r="A23" s="412" t="str">
        <f>IF(CONSTRUCTIONS!$D9="","","Construction,")</f>
        <v>Construction,</v>
      </c>
      <c r="B23" s="412" t="str">
        <f>IF(CONSTRUCTIONS!$D9="","","! From user CONSTRUCTIONS spreadhseet, Project Name:  "&amp;CONSTRUCTIONS!$D9&amp;". ")</f>
        <v xml:space="preserve">! From user CONSTRUCTIONS spreadhseet, Project Name:  Ext Walls 3. </v>
      </c>
    </row>
    <row r="24" spans="1:2">
      <c r="A24" s="412" t="str">
        <f>IF(CONSTRUCTIONS!$D9="","","    Cons "&amp;CONSTRUCTIONS!$B9&amp;",")</f>
        <v xml:space="preserve">    Cons EW3,</v>
      </c>
      <c r="B24" s="412" t="str">
        <f>IF(CONSTRUCTIONS!$D9="","",IF(CONSTRUCTIONS!$F9="","!   based user material selection.","!   based on template "&amp;CONSTRUCTIONS!$G9&amp;"."))</f>
        <v>!   based on template Light Exterior Wall.</v>
      </c>
    </row>
    <row r="25" spans="1:2">
      <c r="A25" s="412" t="str">
        <f>IF(CONSTRUCTIONS!$D9="","",IF(CONSTRUCTIONS!$M9="","ERROR!",IF(VLOOKUP(CONSTRUCTIONS!$M9,Data!$D$3:$E$407,2,0)="","    "&amp;CONSTRUCTIONS!$M9,"    "&amp;VLOOKUP(CONSTRUCTIONS!$M9,Data!$D$3:$E$407,2,0)&amp;" "&amp;CONSTRUCTIONS!$M9)&amp;IF(CONSTRUCTIONS!$Q9="",";",",")))</f>
        <v xml:space="preserve">    F08 Metal surface,</v>
      </c>
      <c r="B25" s="412" t="str">
        <f>IF(CONSTRUCTIONS!$D9="","","! Layer 1")</f>
        <v>! Layer 1</v>
      </c>
    </row>
    <row r="26" spans="1:2">
      <c r="A26" s="412" t="str">
        <f>IF(CONSTRUCTIONS!$D9="","",IF(CONSTRUCTIONS!$Q9="","",IF(VLOOKUP(CONSTRUCTIONS!$Q9,Data!$D$3:$E$407,2,0)="","    "&amp;CONSTRUCTIONS!$Q9,"    "&amp;VLOOKUP(CONSTRUCTIONS!$Q9,Data!$D$3:$E$407,2,0)&amp;" "&amp;CONSTRUCTIONS!$Q9)&amp;IF(CONSTRUCTIONS!$U9="",";",",")))</f>
        <v xml:space="preserve">    I02 50mm insulation board,</v>
      </c>
      <c r="B26" s="412" t="str">
        <f>IF(CONSTRUCTIONS!$D9="","","! Layer 2")</f>
        <v>! Layer 2</v>
      </c>
    </row>
    <row r="27" spans="1:2">
      <c r="A27" s="412" t="str">
        <f>IF(CONSTRUCTIONS!$D9="","",IF(CONSTRUCTIONS!$U9="","",IF(VLOOKUP(CONSTRUCTIONS!$U9,Data!$D$3:$E$407,2,0)="","    "&amp;CONSTRUCTIONS!$U9,"    "&amp;VLOOKUP(CONSTRUCTIONS!$U9,Data!$D$3:$E$407,2,0)&amp;" "&amp;CONSTRUCTIONS!$U9)&amp;IF(CONSTRUCTIONS!$Y9="",";",",")))</f>
        <v xml:space="preserve">    F04 Wall air space resistance,</v>
      </c>
      <c r="B27" s="412" t="str">
        <f>IF(CONSTRUCTIONS!$D9="","","! Layer 3")</f>
        <v>! Layer 3</v>
      </c>
    </row>
    <row r="28" spans="1:2">
      <c r="A28" s="412" t="str">
        <f>IF(CONSTRUCTIONS!$D9="","",IF(CONSTRUCTIONS!$Y9="","",IF(VLOOKUP(CONSTRUCTIONS!$Y9,Data!$D$3:$E$407,2,0)="","    "&amp;CONSTRUCTIONS!$Y9,"    "&amp;VLOOKUP(CONSTRUCTIONS!$Y9,Data!$D$3:$E$407,2,0)&amp;" "&amp;CONSTRUCTIONS!$Y9)&amp;IF(CONSTRUCTIONS!$AC9="",";",",")))</f>
        <v xml:space="preserve">    G01a 19mm gypsum board,</v>
      </c>
      <c r="B28" s="412" t="str">
        <f>IF(CONSTRUCTIONS!$D9="","","! Layer 4")</f>
        <v>! Layer 4</v>
      </c>
    </row>
    <row r="29" spans="1:2">
      <c r="A29" s="412" t="e">
        <f>IF(CONSTRUCTIONS!$D9="","",IF(CONSTRUCTIONS!$AC9="","",IF(VLOOKUP(CONSTRUCTIONS!$AC9,Data!$D$3:$E$407,2,0)="","    "&amp;CONSTRUCTIONS!$AC9,"    "&amp;VLOOKUP(CONSTRUCTIONS!$AC9,Data!$D$3:$E$407,2,0)&amp;" "&amp;CONSTRUCTIONS!$AC9)&amp;";"))</f>
        <v>#N/A</v>
      </c>
      <c r="B29" s="412" t="str">
        <f>IF(CONSTRUCTIONS!$D9="","","! Layer 5")</f>
        <v>! Layer 5</v>
      </c>
    </row>
    <row r="30" spans="1:2">
      <c r="A30" s="412"/>
      <c r="B30" s="412"/>
    </row>
    <row r="31" spans="1:2">
      <c r="A31" s="412" t="str">
        <f>IF(CONSTRUCTIONS!$D10="","","Construction,")</f>
        <v>Construction,</v>
      </c>
      <c r="B31" s="412" t="str">
        <f>IF(CONSTRUCTIONS!$D10="","","! From user CONSTRUCTIONS spreadhseet, Project Name:  "&amp;CONSTRUCTIONS!$D10&amp;". ")</f>
        <v xml:space="preserve">! From user CONSTRUCTIONS spreadhseet, Project Name:  P4a Int Walls. </v>
      </c>
    </row>
    <row r="32" spans="1:2">
      <c r="A32" s="412" t="str">
        <f>IF(CONSTRUCTIONS!$D10="","","    Cons "&amp;CONSTRUCTIONS!$B10&amp;",")</f>
        <v xml:space="preserve">    Cons EW4,</v>
      </c>
      <c r="B32" s="412" t="str">
        <f>IF(CONSTRUCTIONS!$D10="","",IF(CONSTRUCTIONS!$F10="","!   based user material selection.","!   based on template "&amp;CONSTRUCTIONS!$G10&amp;"."))</f>
        <v>!   based on template Composite 2x4 Steel Stud R11.</v>
      </c>
    </row>
    <row r="33" spans="1:2">
      <c r="A33" s="412" t="str">
        <f>IF(CONSTRUCTIONS!$D10="","",IF(CONSTRUCTIONS!$M10="","ERROR!",IF(VLOOKUP(CONSTRUCTIONS!$M10,Data!$D$3:$E$407,2,0)="","    "&amp;CONSTRUCTIONS!$M10,"    "&amp;VLOOKUP(CONSTRUCTIONS!$M10,Data!$D$3:$E$407,2,0)&amp;" "&amp;CONSTRUCTIONS!$M10)&amp;IF(CONSTRUCTIONS!$Q10="",";",",")))</f>
        <v xml:space="preserve">    Composite 2x4 Steel Stud R11 #3,</v>
      </c>
      <c r="B33" s="412" t="str">
        <f>IF(CONSTRUCTIONS!$D10="","","! Layer 1")</f>
        <v>! Layer 1</v>
      </c>
    </row>
    <row r="34" spans="1:2">
      <c r="A34" s="412" t="str">
        <f>IF(CONSTRUCTIONS!$D10="","",IF(CONSTRUCTIONS!$Q10="","",IF(VLOOKUP(CONSTRUCTIONS!$Q10,Data!$D$3:$E$407,2,0)="","    "&amp;CONSTRUCTIONS!$Q10,"    "&amp;VLOOKUP(CONSTRUCTIONS!$Q10,Data!$D$3:$E$407,2,0)&amp;" "&amp;CONSTRUCTIONS!$Q10)&amp;IF(CONSTRUCTIONS!$U10="",";",",")))</f>
        <v xml:space="preserve">    Composite 2x4 Steel Stud R11 #2,</v>
      </c>
      <c r="B34" s="412" t="str">
        <f>IF(CONSTRUCTIONS!$D10="","","! Layer 2")</f>
        <v>! Layer 2</v>
      </c>
    </row>
    <row r="35" spans="1:2">
      <c r="A35" s="412" t="str">
        <f>IF(CONSTRUCTIONS!$D10="","",IF(CONSTRUCTIONS!$U10="","",IF(VLOOKUP(CONSTRUCTIONS!$U10,Data!$D$3:$E$407,2,0)="","    "&amp;CONSTRUCTIONS!$U10,"    "&amp;VLOOKUP(CONSTRUCTIONS!$U10,Data!$D$3:$E$407,2,0)&amp;" "&amp;CONSTRUCTIONS!$U10)&amp;IF(CONSTRUCTIONS!$Y10="",";",",")))</f>
        <v xml:space="preserve">    Composite 2x4 Steel Stud R11 #1,</v>
      </c>
      <c r="B35" s="412" t="str">
        <f>IF(CONSTRUCTIONS!$D10="","","! Layer 3")</f>
        <v>! Layer 3</v>
      </c>
    </row>
    <row r="36" spans="1:2">
      <c r="A36" s="412" t="e">
        <f>IF(CONSTRUCTIONS!$D10="","",IF(CONSTRUCTIONS!$Y10="","",IF(VLOOKUP(CONSTRUCTIONS!$Y10,Data!$D$3:$E$407,2,0)="","    "&amp;CONSTRUCTIONS!$Y10,"    "&amp;VLOOKUP(CONSTRUCTIONS!$Y10,Data!$D$3:$E$407,2,0)&amp;" "&amp;CONSTRUCTIONS!$Y10)&amp;IF(CONSTRUCTIONS!$AC10="",";",",")))</f>
        <v>#N/A</v>
      </c>
      <c r="B36" s="412" t="str">
        <f>IF(CONSTRUCTIONS!$D10="","","! Layer 4")</f>
        <v>! Layer 4</v>
      </c>
    </row>
    <row r="37" spans="1:2">
      <c r="A37" s="412" t="e">
        <f>IF(CONSTRUCTIONS!$D10="","",IF(CONSTRUCTIONS!$AC10="","",IF(VLOOKUP(CONSTRUCTIONS!$AC10,Data!$D$3:$E$407,2,0)="","    "&amp;CONSTRUCTIONS!$AC10,"    "&amp;VLOOKUP(CONSTRUCTIONS!$AC10,Data!$D$3:$E$407,2,0)&amp;" "&amp;CONSTRUCTIONS!$AC10)&amp;";"))</f>
        <v>#N/A</v>
      </c>
      <c r="B37" s="412" t="str">
        <f>IF(CONSTRUCTIONS!$D10="","","! Layer 5")</f>
        <v>! Layer 5</v>
      </c>
    </row>
    <row r="38" spans="1:2">
      <c r="A38" s="412"/>
      <c r="B38" s="412"/>
    </row>
    <row r="39" spans="1:2">
      <c r="A39" s="412" t="str">
        <f>IF(CONSTRUCTIONS!$D11="","","Construction,")</f>
        <v>Construction,</v>
      </c>
      <c r="B39" s="412" t="str">
        <f>IF(CONSTRUCTIONS!$D11="","","! From user CONSTRUCTIONS spreadhseet, Project Name:  "&amp;CONSTRUCTIONS!$D11&amp;". ")</f>
        <v xml:space="preserve">! From user CONSTRUCTIONS spreadhseet, Project Name:  P2 Walls. </v>
      </c>
    </row>
    <row r="40" spans="1:2">
      <c r="A40" s="412" t="str">
        <f>IF(CONSTRUCTIONS!$D11="","","    Cons "&amp;CONSTRUCTIONS!$B11&amp;",")</f>
        <v xml:space="preserve">    Cons AF1,</v>
      </c>
      <c r="B40" s="412" t="str">
        <f>IF(CONSTRUCTIONS!$D11="","",IF(CONSTRUCTIONS!$F11="","!   based user material selection.","!   based on template "&amp;CONSTRUCTIONS!$G11&amp;"."))</f>
        <v>!   based on template Light Partitions.</v>
      </c>
    </row>
    <row r="41" spans="1:2">
      <c r="A41" s="412" t="str">
        <f>IF(CONSTRUCTIONS!$D11="","",IF(CONSTRUCTIONS!$M11="","ERROR!",IF(VLOOKUP(CONSTRUCTIONS!$M11,Data!$D$3:$E$407,2,0)="","    "&amp;CONSTRUCTIONS!$M11,"    "&amp;VLOOKUP(CONSTRUCTIONS!$M11,Data!$D$3:$E$407,2,0)&amp;" "&amp;CONSTRUCTIONS!$M11)&amp;IF(CONSTRUCTIONS!$Q11="",";",",")))</f>
        <v xml:space="preserve">    G01a 19mm gypsum board,</v>
      </c>
      <c r="B41" s="412" t="str">
        <f>IF(CONSTRUCTIONS!$D11="","","! Layer 1")</f>
        <v>! Layer 1</v>
      </c>
    </row>
    <row r="42" spans="1:2">
      <c r="A42" s="412" t="str">
        <f>IF(CONSTRUCTIONS!$D11="","",IF(CONSTRUCTIONS!$Q11="","",IF(VLOOKUP(CONSTRUCTIONS!$Q11,Data!$D$3:$E$407,2,0)="","    "&amp;CONSTRUCTIONS!$Q11,"    "&amp;VLOOKUP(CONSTRUCTIONS!$Q11,Data!$D$3:$E$407,2,0)&amp;" "&amp;CONSTRUCTIONS!$Q11)&amp;IF(CONSTRUCTIONS!$U11="",";",",")))</f>
        <v xml:space="preserve">    F04 Wall air space resistance,</v>
      </c>
      <c r="B42" s="412" t="str">
        <f>IF(CONSTRUCTIONS!$D11="","","! Layer 2")</f>
        <v>! Layer 2</v>
      </c>
    </row>
    <row r="43" spans="1:2">
      <c r="A43" s="412" t="str">
        <f>IF(CONSTRUCTIONS!$D11="","",IF(CONSTRUCTIONS!$U11="","",IF(VLOOKUP(CONSTRUCTIONS!$U11,Data!$D$3:$E$407,2,0)="","    "&amp;CONSTRUCTIONS!$U11,"    "&amp;VLOOKUP(CONSTRUCTIONS!$U11,Data!$D$3:$E$407,2,0)&amp;" "&amp;CONSTRUCTIONS!$U11)&amp;IF(CONSTRUCTIONS!$Y11="",";",",")))</f>
        <v xml:space="preserve">    G01a 19mm gypsum board,</v>
      </c>
      <c r="B43" s="412" t="str">
        <f>IF(CONSTRUCTIONS!$D11="","","! Layer 3")</f>
        <v>! Layer 3</v>
      </c>
    </row>
    <row r="44" spans="1:2">
      <c r="A44" s="412" t="e">
        <f>IF(CONSTRUCTIONS!$D11="","",IF(CONSTRUCTIONS!$Y11="","",IF(VLOOKUP(CONSTRUCTIONS!$Y11,Data!$D$3:$E$407,2,0)="","    "&amp;CONSTRUCTIONS!$Y11,"    "&amp;VLOOKUP(CONSTRUCTIONS!$Y11,Data!$D$3:$E$407,2,0)&amp;" "&amp;CONSTRUCTIONS!$Y11)&amp;IF(CONSTRUCTIONS!$AC11="",";",",")))</f>
        <v>#N/A</v>
      </c>
      <c r="B44" s="412" t="str">
        <f>IF(CONSTRUCTIONS!$D11="","","! Layer 4")</f>
        <v>! Layer 4</v>
      </c>
    </row>
    <row r="45" spans="1:2">
      <c r="A45" s="412" t="e">
        <f>IF(CONSTRUCTIONS!$D11="","",IF(CONSTRUCTIONS!$AC11="","",IF(VLOOKUP(CONSTRUCTIONS!$AC11,Data!$D$3:$E$407,2,0)="","    "&amp;CONSTRUCTIONS!$AC11,"    "&amp;VLOOKUP(CONSTRUCTIONS!$AC11,Data!$D$3:$E$407,2,0)&amp;" "&amp;CONSTRUCTIONS!$AC11)&amp;";"))</f>
        <v>#N/A</v>
      </c>
      <c r="B45" s="412" t="str">
        <f>IF(CONSTRUCTIONS!$D11="","","! Layer 5")</f>
        <v>! Layer 5</v>
      </c>
    </row>
    <row r="46" spans="1:2">
      <c r="A46" s="412"/>
      <c r="B46" s="412"/>
    </row>
    <row r="47" spans="1:2">
      <c r="A47" s="412" t="str">
        <f>IF(CONSTRUCTIONS!$D12="","","Construction,")</f>
        <v>Construction,</v>
      </c>
      <c r="B47" s="412" t="str">
        <f>IF(CONSTRUCTIONS!$D12="","","! From user CONSTRUCTIONS spreadhseet, Project Name:  "&amp;CONSTRUCTIONS!$D12&amp;". ")</f>
        <v xml:space="preserve">! From user CONSTRUCTIONS spreadhseet, Project Name:  P3 Walls. </v>
      </c>
    </row>
    <row r="48" spans="1:2">
      <c r="A48" s="412" t="e">
        <f>IF(CONSTRUCTIONS!$D12="","","    Cons "&amp;CONSTRUCTIONS!$B12&amp;",")</f>
        <v>#N/A</v>
      </c>
      <c r="B48" s="412" t="str">
        <f>IF(CONSTRUCTIONS!$D12="","",IF(CONSTRUCTIONS!$F12="","!   based user material selection.","!   based on template "&amp;CONSTRUCTIONS!$G12&amp;"."))</f>
        <v>!   based on template Medium Partitions.</v>
      </c>
    </row>
    <row r="49" spans="1:2">
      <c r="A49" s="412" t="str">
        <f>IF(CONSTRUCTIONS!$D12="","",IF(CONSTRUCTIONS!$M12="","ERROR!",IF(VLOOKUP(CONSTRUCTIONS!$M12,Data!$D$3:$E$407,2,0)="","    "&amp;CONSTRUCTIONS!$M12,"    "&amp;VLOOKUP(CONSTRUCTIONS!$M12,Data!$D$3:$E$407,2,0)&amp;" "&amp;CONSTRUCTIONS!$M12)&amp;IF(CONSTRUCTIONS!$Q12="",";",",")))</f>
        <v xml:space="preserve">    G01a 19mm gypsum board,</v>
      </c>
      <c r="B49" s="412" t="str">
        <f>IF(CONSTRUCTIONS!$D12="","","! Layer 1")</f>
        <v>! Layer 1</v>
      </c>
    </row>
    <row r="50" spans="1:2">
      <c r="A50" s="412" t="str">
        <f>IF(CONSTRUCTIONS!$D12="","",IF(CONSTRUCTIONS!$Q12="","",IF(VLOOKUP(CONSTRUCTIONS!$Q12,Data!$D$3:$E$407,2,0)="","    "&amp;CONSTRUCTIONS!$Q12,"    "&amp;VLOOKUP(CONSTRUCTIONS!$Q12,Data!$D$3:$E$407,2,0)&amp;" "&amp;CONSTRUCTIONS!$Q12)&amp;IF(CONSTRUCTIONS!$U12="",";",",")))</f>
        <v xml:space="preserve">    F04 Wall air space resistance,</v>
      </c>
      <c r="B50" s="412" t="str">
        <f>IF(CONSTRUCTIONS!$D12="","","! Layer 2")</f>
        <v>! Layer 2</v>
      </c>
    </row>
    <row r="51" spans="1:2">
      <c r="A51" s="412" t="str">
        <f>IF(CONSTRUCTIONS!$D12="","",IF(CONSTRUCTIONS!$U12="","",IF(VLOOKUP(CONSTRUCTIONS!$U12,Data!$D$3:$E$407,2,0)="","    "&amp;CONSTRUCTIONS!$U12,"    "&amp;VLOOKUP(CONSTRUCTIONS!$U12,Data!$D$3:$E$407,2,0)&amp;" "&amp;CONSTRUCTIONS!$U12)&amp;IF(CONSTRUCTIONS!$Y12="",";",",")))</f>
        <v xml:space="preserve">    G01a 19mm gypsum board,</v>
      </c>
      <c r="B51" s="412" t="str">
        <f>IF(CONSTRUCTIONS!$D12="","","! Layer 3")</f>
        <v>! Layer 3</v>
      </c>
    </row>
    <row r="52" spans="1:2">
      <c r="A52" s="412" t="e">
        <f>IF(CONSTRUCTIONS!$D12="","",IF(CONSTRUCTIONS!$Y12="","",IF(VLOOKUP(CONSTRUCTIONS!$Y12,Data!$D$3:$E$407,2,0)="","    "&amp;CONSTRUCTIONS!$Y12,"    "&amp;VLOOKUP(CONSTRUCTIONS!$Y12,Data!$D$3:$E$407,2,0)&amp;" "&amp;CONSTRUCTIONS!$Y12)&amp;IF(CONSTRUCTIONS!$AC12="",";",",")))</f>
        <v>#N/A</v>
      </c>
      <c r="B52" s="412" t="str">
        <f>IF(CONSTRUCTIONS!$D12="","","! Layer 4")</f>
        <v>! Layer 4</v>
      </c>
    </row>
    <row r="53" spans="1:2">
      <c r="A53" s="412" t="e">
        <f>IF(CONSTRUCTIONS!$D12="","",IF(CONSTRUCTIONS!$AC12="","",IF(VLOOKUP(CONSTRUCTIONS!$AC12,Data!$D$3:$E$407,2,0)="","    "&amp;CONSTRUCTIONS!$AC12,"    "&amp;VLOOKUP(CONSTRUCTIONS!$AC12,Data!$D$3:$E$407,2,0)&amp;" "&amp;CONSTRUCTIONS!$AC12)&amp;";"))</f>
        <v>#N/A</v>
      </c>
      <c r="B53" s="412" t="str">
        <f>IF(CONSTRUCTIONS!$D12="","","! Layer 5")</f>
        <v>! Layer 5</v>
      </c>
    </row>
    <row r="54" spans="1:2">
      <c r="A54" s="412"/>
      <c r="B54" s="412"/>
    </row>
    <row r="55" spans="1:2">
      <c r="A55" s="412" t="str">
        <f>IF(CONSTRUCTIONS!$D13="","","Construction,")</f>
        <v>Construction,</v>
      </c>
      <c r="B55" s="412" t="str">
        <f>IF(CONSTRUCTIONS!$D13="","","! From user CONSTRUCTIONS spreadhseet, Project Name:  "&amp;CONSTRUCTIONS!$D13&amp;". ")</f>
        <v xml:space="preserve">! From user CONSTRUCTIONS spreadhseet, Project Name:  P1 Walls. </v>
      </c>
    </row>
    <row r="56" spans="1:2">
      <c r="A56" s="412" t="e">
        <f>IF(CONSTRUCTIONS!$D13="","","    Cons "&amp;CONSTRUCTIONS!$B13&amp;",")</f>
        <v>#N/A</v>
      </c>
      <c r="B56" s="412" t="str">
        <f>IF(CONSTRUCTIONS!$D13="","",IF(CONSTRUCTIONS!$F13="","!   based user material selection.","!   based on template "&amp;CONSTRUCTIONS!$G13&amp;"."))</f>
        <v>!   based on template Heavy Partitions.</v>
      </c>
    </row>
    <row r="57" spans="1:2">
      <c r="A57" s="412" t="str">
        <f>IF(CONSTRUCTIONS!$D13="","",IF(CONSTRUCTIONS!$M13="","ERROR!",IF(VLOOKUP(CONSTRUCTIONS!$M13,Data!$D$3:$E$407,2,0)="","    "&amp;CONSTRUCTIONS!$M13,"    "&amp;VLOOKUP(CONSTRUCTIONS!$M13,Data!$D$3:$E$407,2,0)&amp;" "&amp;CONSTRUCTIONS!$M13)&amp;IF(CONSTRUCTIONS!$Q13="",";",",")))</f>
        <v xml:space="preserve">    G01a 19mm gypsum board,</v>
      </c>
      <c r="B57" s="412" t="str">
        <f>IF(CONSTRUCTIONS!$D13="","","! Layer 1")</f>
        <v>! Layer 1</v>
      </c>
    </row>
    <row r="58" spans="1:2">
      <c r="A58" s="412" t="str">
        <f>IF(CONSTRUCTIONS!$D13="","",IF(CONSTRUCTIONS!$Q13="","",IF(VLOOKUP(CONSTRUCTIONS!$Q13,Data!$D$3:$E$407,2,0)="","    "&amp;CONSTRUCTIONS!$Q13,"    "&amp;VLOOKUP(CONSTRUCTIONS!$Q13,Data!$D$3:$E$407,2,0)&amp;" "&amp;CONSTRUCTIONS!$Q13)&amp;IF(CONSTRUCTIONS!$U13="",";",",")))</f>
        <v xml:space="preserve">    M05 200mm concrete block,</v>
      </c>
      <c r="B58" s="412" t="str">
        <f>IF(CONSTRUCTIONS!$D13="","","! Layer 2")</f>
        <v>! Layer 2</v>
      </c>
    </row>
    <row r="59" spans="1:2">
      <c r="A59" s="412" t="str">
        <f>IF(CONSTRUCTIONS!$D13="","",IF(CONSTRUCTIONS!$U13="","",IF(VLOOKUP(CONSTRUCTIONS!$U13,Data!$D$3:$E$407,2,0)="","    "&amp;CONSTRUCTIONS!$U13,"    "&amp;VLOOKUP(CONSTRUCTIONS!$U13,Data!$D$3:$E$407,2,0)&amp;" "&amp;CONSTRUCTIONS!$U13)&amp;IF(CONSTRUCTIONS!$Y13="",";",",")))</f>
        <v xml:space="preserve">    G01a 19mm gypsum board,</v>
      </c>
      <c r="B59" s="412" t="str">
        <f>IF(CONSTRUCTIONS!$D13="","","! Layer 3")</f>
        <v>! Layer 3</v>
      </c>
    </row>
    <row r="60" spans="1:2">
      <c r="A60" s="412" t="e">
        <f>IF(CONSTRUCTIONS!$D13="","",IF(CONSTRUCTIONS!$Y13="","",IF(VLOOKUP(CONSTRUCTIONS!$Y13,Data!$D$3:$E$407,2,0)="","    "&amp;CONSTRUCTIONS!$Y13,"    "&amp;VLOOKUP(CONSTRUCTIONS!$Y13,Data!$D$3:$E$407,2,0)&amp;" "&amp;CONSTRUCTIONS!$Y13)&amp;IF(CONSTRUCTIONS!$AC13="",";",",")))</f>
        <v>#N/A</v>
      </c>
      <c r="B60" s="412" t="str">
        <f>IF(CONSTRUCTIONS!$D13="","","! Layer 4")</f>
        <v>! Layer 4</v>
      </c>
    </row>
    <row r="61" spans="1:2">
      <c r="A61" s="412" t="e">
        <f>IF(CONSTRUCTIONS!$D13="","",IF(CONSTRUCTIONS!$AC13="","",IF(VLOOKUP(CONSTRUCTIONS!$AC13,Data!$D$3:$E$407,2,0)="","    "&amp;CONSTRUCTIONS!$AC13,"    "&amp;VLOOKUP(CONSTRUCTIONS!$AC13,Data!$D$3:$E$407,2,0)&amp;" "&amp;CONSTRUCTIONS!$AC13)&amp;";"))</f>
        <v>#N/A</v>
      </c>
      <c r="B61" s="412" t="str">
        <f>IF(CONSTRUCTIONS!$D13="","","! Layer 5")</f>
        <v>! Layer 5</v>
      </c>
    </row>
    <row r="62" spans="1:2">
      <c r="A62" s="412"/>
      <c r="B62" s="412"/>
    </row>
    <row r="63" spans="1:2">
      <c r="A63" s="412" t="str">
        <f>IF(CONSTRUCTIONS!$D14="","","Construction,")</f>
        <v>Construction,</v>
      </c>
      <c r="B63" s="412" t="str">
        <f>IF(CONSTRUCTIONS!$D14="","","! From user CONSTRUCTIONS spreadhseet, Project Name:  "&amp;CONSTRUCTIONS!$D14&amp;". ")</f>
        <v xml:space="preserve">! From user CONSTRUCTIONS spreadhseet, Project Name:  Tile Ceiling. </v>
      </c>
    </row>
    <row r="64" spans="1:2">
      <c r="A64" s="412" t="str">
        <f>IF(CONSTRUCTIONS!$D14="","","    Cons "&amp;CONSTRUCTIONS!$B14&amp;",")</f>
        <v xml:space="preserve">    Cons CE1,</v>
      </c>
      <c r="B64" s="412" t="str">
        <f>IF(CONSTRUCTIONS!$D14="","",IF(CONSTRUCTIONS!$F14="","!   based user material selection.","!   based on template "&amp;CONSTRUCTIONS!$G14&amp;"."))</f>
        <v>!   based on template Composite 2x6 Steel Stud R19.</v>
      </c>
    </row>
    <row r="65" spans="1:2">
      <c r="A65" s="412" t="str">
        <f>IF(CONSTRUCTIONS!$D14="","",IF(CONSTRUCTIONS!$M14="","ERROR!",IF(VLOOKUP(CONSTRUCTIONS!$M14,Data!$D$3:$E$407,2,0)="","    "&amp;CONSTRUCTIONS!$M14,"    "&amp;VLOOKUP(CONSTRUCTIONS!$M14,Data!$D$3:$E$407,2,0)&amp;" "&amp;CONSTRUCTIONS!$M14)&amp;IF(CONSTRUCTIONS!$Q14="",";",",")))</f>
        <v xml:space="preserve">    Composite 2x6 Steel Stud R19 #3,</v>
      </c>
      <c r="B65" s="412" t="str">
        <f>IF(CONSTRUCTIONS!$D14="","","! Layer 1")</f>
        <v>! Layer 1</v>
      </c>
    </row>
    <row r="66" spans="1:2">
      <c r="A66" s="412" t="str">
        <f>IF(CONSTRUCTIONS!$D14="","",IF(CONSTRUCTIONS!$Q14="","",IF(VLOOKUP(CONSTRUCTIONS!$Q14,Data!$D$3:$E$407,2,0)="","    "&amp;CONSTRUCTIONS!$Q14,"    "&amp;VLOOKUP(CONSTRUCTIONS!$Q14,Data!$D$3:$E$407,2,0)&amp;" "&amp;CONSTRUCTIONS!$Q14)&amp;IF(CONSTRUCTIONS!$U14="",";",",")))</f>
        <v xml:space="preserve">    Composite 2x6 Steel Stud R19 #2,</v>
      </c>
      <c r="B66" s="412" t="str">
        <f>IF(CONSTRUCTIONS!$D14="","","! Layer 2")</f>
        <v>! Layer 2</v>
      </c>
    </row>
    <row r="67" spans="1:2">
      <c r="A67" s="412" t="str">
        <f>IF(CONSTRUCTIONS!$D14="","",IF(CONSTRUCTIONS!$U14="","",IF(VLOOKUP(CONSTRUCTIONS!$U14,Data!$D$3:$E$407,2,0)="","    "&amp;CONSTRUCTIONS!$U14,"    "&amp;VLOOKUP(CONSTRUCTIONS!$U14,Data!$D$3:$E$407,2,0)&amp;" "&amp;CONSTRUCTIONS!$U14)&amp;IF(CONSTRUCTIONS!$Y14="",";",",")))</f>
        <v xml:space="preserve">    Composite 2x6 Steel Stud R19 #1,</v>
      </c>
      <c r="B67" s="412" t="str">
        <f>IF(CONSTRUCTIONS!$D14="","","! Layer 3")</f>
        <v>! Layer 3</v>
      </c>
    </row>
    <row r="68" spans="1:2">
      <c r="A68" s="412" t="e">
        <f>IF(CONSTRUCTIONS!$D14="","",IF(CONSTRUCTIONS!$Y14="","",IF(VLOOKUP(CONSTRUCTIONS!$Y14,Data!$D$3:$E$407,2,0)="","    "&amp;CONSTRUCTIONS!$Y14,"    "&amp;VLOOKUP(CONSTRUCTIONS!$Y14,Data!$D$3:$E$407,2,0)&amp;" "&amp;CONSTRUCTIONS!$Y14)&amp;IF(CONSTRUCTIONS!$AC14="",";",",")))</f>
        <v>#N/A</v>
      </c>
      <c r="B68" s="412" t="str">
        <f>IF(CONSTRUCTIONS!$D14="","","! Layer 4")</f>
        <v>! Layer 4</v>
      </c>
    </row>
    <row r="69" spans="1:2">
      <c r="A69" s="412" t="e">
        <f>IF(CONSTRUCTIONS!$D14="","",IF(CONSTRUCTIONS!$AC14="","",IF(VLOOKUP(CONSTRUCTIONS!$AC14,Data!$D$3:$E$407,2,0)="","    "&amp;CONSTRUCTIONS!$AC14,"    "&amp;VLOOKUP(CONSTRUCTIONS!$AC14,Data!$D$3:$E$407,2,0)&amp;" "&amp;CONSTRUCTIONS!$AC14)&amp;";"))</f>
        <v>#N/A</v>
      </c>
      <c r="B69" s="412" t="str">
        <f>IF(CONSTRUCTIONS!$D14="","","! Layer 5")</f>
        <v>! Layer 5</v>
      </c>
    </row>
    <row r="70" spans="1:2">
      <c r="A70" s="412"/>
      <c r="B70" s="412"/>
    </row>
    <row r="71" spans="1:2">
      <c r="A71" s="412" t="str">
        <f>IF(CONSTRUCTIONS!$D15="","","Construction,")</f>
        <v>Construction,</v>
      </c>
      <c r="B71" s="412" t="str">
        <f>IF(CONSTRUCTIONS!$D15="","","! From user CONSTRUCTIONS spreadhseet, Project Name:  "&amp;CONSTRUCTIONS!$D15&amp;". ")</f>
        <v xml:space="preserve">! From user CONSTRUCTIONS spreadhseet, Project Name:  Level 2-6 Slab. </v>
      </c>
    </row>
    <row r="72" spans="1:2">
      <c r="A72" s="412" t="str">
        <f>IF(CONSTRUCTIONS!$D15="","","    Cons "&amp;CONSTRUCTIONS!$B15&amp;",")</f>
        <v xml:space="preserve">    Cons AF2,</v>
      </c>
      <c r="B72" s="412" t="str">
        <f>IF(CONSTRUCTIONS!$D15="","",IF(CONSTRUCTIONS!$F15="","!   based user material selection.","!   based on template "&amp;CONSTRUCTIONS!$G15&amp;"."))</f>
        <v>!   based on template Medium Floor.</v>
      </c>
    </row>
    <row r="73" spans="1:2">
      <c r="A73" s="412" t="str">
        <f>IF(CONSTRUCTIONS!$D15="","",IF(CONSTRUCTIONS!$M15="","ERROR!",IF(VLOOKUP(CONSTRUCTIONS!$M15,Data!$D$3:$E$407,2,0)="","    "&amp;CONSTRUCTIONS!$M15,"    "&amp;VLOOKUP(CONSTRUCTIONS!$M15,Data!$D$3:$E$407,2,0)&amp;" "&amp;CONSTRUCTIONS!$M15)&amp;IF(CONSTRUCTIONS!$Q15="",";",",")))</f>
        <v xml:space="preserve">    F16 Acoustic tile,</v>
      </c>
      <c r="B73" s="412" t="str">
        <f>IF(CONSTRUCTIONS!$D15="","","! Layer 1")</f>
        <v>! Layer 1</v>
      </c>
    </row>
    <row r="74" spans="1:2">
      <c r="A74" s="412" t="str">
        <f>IF(CONSTRUCTIONS!$D15="","",IF(CONSTRUCTIONS!$Q15="","",IF(VLOOKUP(CONSTRUCTIONS!$Q15,Data!$D$3:$E$407,2,0)="","    "&amp;CONSTRUCTIONS!$Q15,"    "&amp;VLOOKUP(CONSTRUCTIONS!$Q15,Data!$D$3:$E$407,2,0)&amp;" "&amp;CONSTRUCTIONS!$Q15)&amp;IF(CONSTRUCTIONS!$U15="",";",",")))</f>
        <v xml:space="preserve">    F05 Ceiling air space resistance,</v>
      </c>
      <c r="B74" s="412" t="str">
        <f>IF(CONSTRUCTIONS!$D15="","","! Layer 2")</f>
        <v>! Layer 2</v>
      </c>
    </row>
    <row r="75" spans="1:2">
      <c r="A75" s="412" t="str">
        <f>IF(CONSTRUCTIONS!$D15="","",IF(CONSTRUCTIONS!$U15="","",IF(VLOOKUP(CONSTRUCTIONS!$U15,Data!$D$3:$E$407,2,0)="","    "&amp;CONSTRUCTIONS!$U15,"    "&amp;VLOOKUP(CONSTRUCTIONS!$U15,Data!$D$3:$E$407,2,0)&amp;" "&amp;CONSTRUCTIONS!$U15)&amp;IF(CONSTRUCTIONS!$Y15="",";",",")))</f>
        <v xml:space="preserve">    M14a 100mm heavyweight concrete,</v>
      </c>
      <c r="B75" s="412" t="str">
        <f>IF(CONSTRUCTIONS!$D15="","","! Layer 3")</f>
        <v>! Layer 3</v>
      </c>
    </row>
    <row r="76" spans="1:2">
      <c r="A76" s="412" t="e">
        <f>IF(CONSTRUCTIONS!$D15="","",IF(CONSTRUCTIONS!$Y15="","",IF(VLOOKUP(CONSTRUCTIONS!$Y15,Data!$D$3:$E$407,2,0)="","    "&amp;CONSTRUCTIONS!$Y15,"    "&amp;VLOOKUP(CONSTRUCTIONS!$Y15,Data!$D$3:$E$407,2,0)&amp;" "&amp;CONSTRUCTIONS!$Y15)&amp;IF(CONSTRUCTIONS!$AC15="",";",",")))</f>
        <v>#N/A</v>
      </c>
      <c r="B76" s="412" t="str">
        <f>IF(CONSTRUCTIONS!$D15="","","! Layer 4")</f>
        <v>! Layer 4</v>
      </c>
    </row>
    <row r="77" spans="1:2">
      <c r="A77" s="412" t="e">
        <f>IF(CONSTRUCTIONS!$D15="","",IF(CONSTRUCTIONS!$AC15="","",IF(VLOOKUP(CONSTRUCTIONS!$AC15,Data!$D$3:$E$407,2,0)="","    "&amp;CONSTRUCTIONS!$AC15,"    "&amp;VLOOKUP(CONSTRUCTIONS!$AC15,Data!$D$3:$E$407,2,0)&amp;" "&amp;CONSTRUCTIONS!$AC15)&amp;";"))</f>
        <v>#N/A</v>
      </c>
      <c r="B77" s="412" t="str">
        <f>IF(CONSTRUCTIONS!$D15="","","! Layer 5")</f>
        <v>! Layer 5</v>
      </c>
    </row>
    <row r="78" spans="1:2">
      <c r="A78" s="412"/>
      <c r="B78" s="412"/>
    </row>
    <row r="79" spans="1:2">
      <c r="A79" s="412" t="str">
        <f>IF(CONSTRUCTIONS!$D16="","","Construction,")</f>
        <v>Construction,</v>
      </c>
      <c r="B79" s="412" t="str">
        <f>IF(CONSTRUCTIONS!$D16="","","! From user CONSTRUCTIONS spreadhseet, Project Name:  "&amp;CONSTRUCTIONS!$D16&amp;". ")</f>
        <v xml:space="preserve">! From user CONSTRUCTIONS spreadhseet, Project Name:  Slab on grade Block A. </v>
      </c>
    </row>
    <row r="80" spans="1:2">
      <c r="A80" s="412" t="str">
        <f>IF(CONSTRUCTIONS!$D16="","","    Cons "&amp;CONSTRUCTIONS!$B16&amp;",")</f>
        <v xml:space="preserve">    Cons GF1,</v>
      </c>
      <c r="B80" s="412" t="str">
        <f>IF(CONSTRUCTIONS!$D16="","",IF(CONSTRUCTIONS!$F16="","!   based user material selection.","!   based on template "&amp;CONSTRUCTIONS!$G16&amp;"."))</f>
        <v>!   based on template Composite Brick Foam 2x6 Steel Stud R19.</v>
      </c>
    </row>
    <row r="81" spans="1:2">
      <c r="A81" s="412" t="str">
        <f>IF(CONSTRUCTIONS!$D16="","",IF(CONSTRUCTIONS!$M16="","ERROR!",IF(VLOOKUP(CONSTRUCTIONS!$M16,Data!$D$3:$E$407,2,0)="","    "&amp;CONSTRUCTIONS!$M16,"    "&amp;VLOOKUP(CONSTRUCTIONS!$M16,Data!$D$3:$E$407,2,0)&amp;" "&amp;CONSTRUCTIONS!$M16)&amp;IF(CONSTRUCTIONS!$Q16="",";",",")))</f>
        <v xml:space="preserve">    Composite Brick Foam 2x4 Steel Stud R11 #3,</v>
      </c>
      <c r="B81" s="412" t="str">
        <f>IF(CONSTRUCTIONS!$D16="","","! Layer 1")</f>
        <v>! Layer 1</v>
      </c>
    </row>
    <row r="82" spans="1:2">
      <c r="A82" s="412" t="str">
        <f>IF(CONSTRUCTIONS!$D16="","",IF(CONSTRUCTIONS!$Q16="","",IF(VLOOKUP(CONSTRUCTIONS!$Q16,Data!$D$3:$E$407,2,0)="","    "&amp;CONSTRUCTIONS!$Q16,"    "&amp;VLOOKUP(CONSTRUCTIONS!$Q16,Data!$D$3:$E$407,2,0)&amp;" "&amp;CONSTRUCTIONS!$Q16)&amp;IF(CONSTRUCTIONS!$U16="",";",",")))</f>
        <v xml:space="preserve">    Composite Brick Foam 2x4 Steel Stud R11 #2,</v>
      </c>
      <c r="B82" s="412" t="str">
        <f>IF(CONSTRUCTIONS!$D16="","","! Layer 2")</f>
        <v>! Layer 2</v>
      </c>
    </row>
    <row r="83" spans="1:2">
      <c r="A83" s="412" t="str">
        <f>IF(CONSTRUCTIONS!$D16="","",IF(CONSTRUCTIONS!$U16="","",IF(VLOOKUP(CONSTRUCTIONS!$U16,Data!$D$3:$E$407,2,0)="","    "&amp;CONSTRUCTIONS!$U16,"    "&amp;VLOOKUP(CONSTRUCTIONS!$U16,Data!$D$3:$E$407,2,0)&amp;" "&amp;CONSTRUCTIONS!$U16)&amp;IF(CONSTRUCTIONS!$Y16="",";",",")))</f>
        <v xml:space="preserve">    Composite Foam 2x6 Steel Stud R19 #1,</v>
      </c>
      <c r="B83" s="412" t="str">
        <f>IF(CONSTRUCTIONS!$D16="","","! Layer 3")</f>
        <v>! Layer 3</v>
      </c>
    </row>
    <row r="84" spans="1:2">
      <c r="A84" s="412" t="e">
        <f>IF(CONSTRUCTIONS!$D16="","",IF(CONSTRUCTIONS!$Y16="","",IF(VLOOKUP(CONSTRUCTIONS!$Y16,Data!$D$3:$E$407,2,0)="","    "&amp;CONSTRUCTIONS!$Y16,"    "&amp;VLOOKUP(CONSTRUCTIONS!$Y16,Data!$D$3:$E$407,2,0)&amp;" "&amp;CONSTRUCTIONS!$Y16)&amp;IF(CONSTRUCTIONS!$AC16="",";",",")))</f>
        <v>#N/A</v>
      </c>
      <c r="B84" s="412" t="str">
        <f>IF(CONSTRUCTIONS!$D16="","","! Layer 4")</f>
        <v>! Layer 4</v>
      </c>
    </row>
    <row r="85" spans="1:2">
      <c r="A85" s="412" t="e">
        <f>IF(CONSTRUCTIONS!$D16="","",IF(CONSTRUCTIONS!$AC16="","",IF(VLOOKUP(CONSTRUCTIONS!$AC16,Data!$D$3:$E$407,2,0)="","    "&amp;CONSTRUCTIONS!$AC16,"    "&amp;VLOOKUP(CONSTRUCTIONS!$AC16,Data!$D$3:$E$407,2,0)&amp;" "&amp;CONSTRUCTIONS!$AC16)&amp;";"))</f>
        <v>#N/A</v>
      </c>
      <c r="B85" s="412" t="str">
        <f>IF(CONSTRUCTIONS!$D16="","","! Layer 5")</f>
        <v>! Layer 5</v>
      </c>
    </row>
    <row r="86" spans="1:2">
      <c r="A86" s="412"/>
      <c r="B86" s="412"/>
    </row>
    <row r="87" spans="1:2">
      <c r="A87" s="412" t="str">
        <f>IF(CONSTRUCTIONS!$D17="","","Construction,")</f>
        <v>Construction,</v>
      </c>
      <c r="B87" s="412" t="str">
        <f>IF(CONSTRUCTIONS!$D17="","","! From user CONSTRUCTIONS spreadhseet, Project Name:  "&amp;CONSTRUCTIONS!$D17&amp;". ")</f>
        <v xml:space="preserve">! From user CONSTRUCTIONS spreadhseet, Project Name:  Concrete/Block UG walls. </v>
      </c>
    </row>
    <row r="88" spans="1:2">
      <c r="A88" s="412" t="str">
        <f>IF(CONSTRUCTIONS!$D17="","","    Cons "&amp;CONSTRUCTIONS!$B17&amp;",")</f>
        <v xml:space="preserve">    Cons UW1,</v>
      </c>
      <c r="B88" s="412" t="str">
        <f>IF(CONSTRUCTIONS!$D17="","",IF(CONSTRUCTIONS!$F17="","!   based user material selection.","!   based on template "&amp;CONSTRUCTIONS!$G17&amp;"."))</f>
        <v>!   based on template Composite 2-Core Filled Concrete Block Uninsulated.</v>
      </c>
    </row>
    <row r="89" spans="1:2">
      <c r="A89" s="412" t="str">
        <f>IF(CONSTRUCTIONS!$D17="","",IF(CONSTRUCTIONS!$M17="","ERROR!",IF(VLOOKUP(CONSTRUCTIONS!$M17,Data!$D$3:$E$407,2,0)="","    "&amp;CONSTRUCTIONS!$M17,"    "&amp;VLOOKUP(CONSTRUCTIONS!$M17,Data!$D$3:$E$407,2,0)&amp;" "&amp;CONSTRUCTIONS!$M17)&amp;IF(CONSTRUCTIONS!$Q17="",";",",")))</f>
        <v xml:space="preserve">    Composite 2-Core Filled Concrete Block Uninsulated #3,</v>
      </c>
      <c r="B89" s="412" t="str">
        <f>IF(CONSTRUCTIONS!$D17="","","! Layer 1")</f>
        <v>! Layer 1</v>
      </c>
    </row>
    <row r="90" spans="1:2">
      <c r="A90" s="412" t="str">
        <f>IF(CONSTRUCTIONS!$D17="","",IF(CONSTRUCTIONS!$Q17="","",IF(VLOOKUP(CONSTRUCTIONS!$Q17,Data!$D$3:$E$407,2,0)="","    "&amp;CONSTRUCTIONS!$Q17,"    "&amp;VLOOKUP(CONSTRUCTIONS!$Q17,Data!$D$3:$E$407,2,0)&amp;" "&amp;CONSTRUCTIONS!$Q17)&amp;IF(CONSTRUCTIONS!$U17="",";",",")))</f>
        <v xml:space="preserve">    Composite 2-Core Filled Concrete Block Uninsulated #2,</v>
      </c>
      <c r="B90" s="412" t="str">
        <f>IF(CONSTRUCTIONS!$D17="","","! Layer 2")</f>
        <v>! Layer 2</v>
      </c>
    </row>
    <row r="91" spans="1:2">
      <c r="A91" s="412" t="str">
        <f>IF(CONSTRUCTIONS!$D17="","",IF(CONSTRUCTIONS!$U17="","",IF(VLOOKUP(CONSTRUCTIONS!$U17,Data!$D$3:$E$407,2,0)="","    "&amp;CONSTRUCTIONS!$U17,"    "&amp;VLOOKUP(CONSTRUCTIONS!$U17,Data!$D$3:$E$407,2,0)&amp;" "&amp;CONSTRUCTIONS!$U17)&amp;IF(CONSTRUCTIONS!$Y17="",";",",")))</f>
        <v xml:space="preserve">    Composite 2-Core Filled Concrete Block Uninsulated #1,</v>
      </c>
      <c r="B91" s="412" t="str">
        <f>IF(CONSTRUCTIONS!$D17="","","! Layer 3")</f>
        <v>! Layer 3</v>
      </c>
    </row>
    <row r="92" spans="1:2">
      <c r="A92" s="412" t="e">
        <f>IF(CONSTRUCTIONS!$D17="","",IF(CONSTRUCTIONS!$Y17="","",IF(VLOOKUP(CONSTRUCTIONS!$Y17,Data!$D$3:$E$407,2,0)="","    "&amp;CONSTRUCTIONS!$Y17,"    "&amp;VLOOKUP(CONSTRUCTIONS!$Y17,Data!$D$3:$E$407,2,0)&amp;" "&amp;CONSTRUCTIONS!$Y17)&amp;IF(CONSTRUCTIONS!$AC17="",";",",")))</f>
        <v>#N/A</v>
      </c>
      <c r="B92" s="412" t="str">
        <f>IF(CONSTRUCTIONS!$D17="","","! Layer 4")</f>
        <v>! Layer 4</v>
      </c>
    </row>
    <row r="93" spans="1:2">
      <c r="A93" s="412" t="e">
        <f>IF(CONSTRUCTIONS!$D17="","",IF(CONSTRUCTIONS!$AC17="","",IF(VLOOKUP(CONSTRUCTIONS!$AC17,Data!$D$3:$E$407,2,0)="","    "&amp;CONSTRUCTIONS!$AC17,"    "&amp;VLOOKUP(CONSTRUCTIONS!$AC17,Data!$D$3:$E$407,2,0)&amp;" "&amp;CONSTRUCTIONS!$AC17)&amp;";"))</f>
        <v>#N/A</v>
      </c>
      <c r="B93" s="412" t="str">
        <f>IF(CONSTRUCTIONS!$D17="","","! Layer 5")</f>
        <v>! Layer 5</v>
      </c>
    </row>
    <row r="94" spans="1:2">
      <c r="A94" s="412"/>
      <c r="B94" s="412"/>
    </row>
    <row r="95" spans="1:2">
      <c r="A95" s="412" t="str">
        <f>IF(CONSTRUCTIONS!$D18="","","Construction,")</f>
        <v>Construction,</v>
      </c>
      <c r="B95" s="412" t="str">
        <f>IF(CONSTRUCTIONS!$D18="","","! From user CONSTRUCTIONS spreadhseet, Project Name:  "&amp;CONSTRUCTIONS!$D18&amp;". ")</f>
        <v xml:space="preserve">! From user CONSTRUCTIONS spreadhseet, Project Name:  Block A. </v>
      </c>
    </row>
    <row r="96" spans="1:2">
      <c r="A96" s="412" t="str">
        <f>IF(CONSTRUCTIONS!$D18="","","    Cons "&amp;CONSTRUCTIONS!$B18&amp;",")</f>
        <v xml:space="preserve">    Cons RF1,</v>
      </c>
      <c r="B96" s="412" t="str">
        <f>IF(CONSTRUCTIONS!$D18="","",IF(CONSTRUCTIONS!$F18="","!   based user material selection.","!   based on template "&amp;CONSTRUCTIONS!$G18&amp;"."))</f>
        <v>!   based on template Light Roof/Ceiling.</v>
      </c>
    </row>
    <row r="97" spans="1:2">
      <c r="A97" s="412" t="str">
        <f>IF(CONSTRUCTIONS!$D18="","",IF(CONSTRUCTIONS!$M18="","ERROR!",IF(VLOOKUP(CONSTRUCTIONS!$M18,Data!$D$3:$E$407,2,0)="","    "&amp;CONSTRUCTIONS!$M18,"    "&amp;VLOOKUP(CONSTRUCTIONS!$M18,Data!$D$3:$E$407,2,0)&amp;" "&amp;CONSTRUCTIONS!$M18)&amp;IF(CONSTRUCTIONS!$Q18="",";",",")))</f>
        <v xml:space="preserve">    M11 100mm lightweight concrete,</v>
      </c>
      <c r="B97" s="412" t="str">
        <f>IF(CONSTRUCTIONS!$D18="","","! Layer 1")</f>
        <v>! Layer 1</v>
      </c>
    </row>
    <row r="98" spans="1:2">
      <c r="A98" s="412" t="str">
        <f>IF(CONSTRUCTIONS!$D18="","",IF(CONSTRUCTIONS!$Q18="","",IF(VLOOKUP(CONSTRUCTIONS!$Q18,Data!$D$3:$E$407,2,0)="","    "&amp;CONSTRUCTIONS!$Q18,"    "&amp;VLOOKUP(CONSTRUCTIONS!$Q18,Data!$D$3:$E$407,2,0)&amp;" "&amp;CONSTRUCTIONS!$Q18)&amp;IF(CONSTRUCTIONS!$U18="",";",",")))</f>
        <v xml:space="preserve">    F05 Ceiling air space resistance,</v>
      </c>
      <c r="B98" s="412" t="str">
        <f>IF(CONSTRUCTIONS!$D18="","","! Layer 2")</f>
        <v>! Layer 2</v>
      </c>
    </row>
    <row r="99" spans="1:2">
      <c r="A99" s="412" t="str">
        <f>IF(CONSTRUCTIONS!$D18="","",IF(CONSTRUCTIONS!$U18="","",IF(VLOOKUP(CONSTRUCTIONS!$U18,Data!$D$3:$E$407,2,0)="","    "&amp;CONSTRUCTIONS!$U18,"    "&amp;VLOOKUP(CONSTRUCTIONS!$U18,Data!$D$3:$E$407,2,0)&amp;" "&amp;CONSTRUCTIONS!$U18)&amp;IF(CONSTRUCTIONS!$Y18="",";",",")))</f>
        <v xml:space="preserve">    F16 Acoustic tile,</v>
      </c>
      <c r="B99" s="412" t="str">
        <f>IF(CONSTRUCTIONS!$D18="","","! Layer 3")</f>
        <v>! Layer 3</v>
      </c>
    </row>
    <row r="100" spans="1:2">
      <c r="A100" s="412" t="e">
        <f>IF(CONSTRUCTIONS!$D18="","",IF(CONSTRUCTIONS!$Y18="","",IF(VLOOKUP(CONSTRUCTIONS!$Y18,Data!$D$3:$E$407,2,0)="","    "&amp;CONSTRUCTIONS!$Y18,"    "&amp;VLOOKUP(CONSTRUCTIONS!$Y18,Data!$D$3:$E$407,2,0)&amp;" "&amp;CONSTRUCTIONS!$Y18)&amp;IF(CONSTRUCTIONS!$AC18="",";",",")))</f>
        <v>#N/A</v>
      </c>
      <c r="B100" s="412" t="str">
        <f>IF(CONSTRUCTIONS!$D18="","","! Layer 4")</f>
        <v>! Layer 4</v>
      </c>
    </row>
    <row r="101" spans="1:2">
      <c r="A101" s="412" t="e">
        <f>IF(CONSTRUCTIONS!$D18="","",IF(CONSTRUCTIONS!$AC18="","",IF(VLOOKUP(CONSTRUCTIONS!$AC18,Data!$D$3:$E$407,2,0)="","    "&amp;CONSTRUCTIONS!$AC18,"    "&amp;VLOOKUP(CONSTRUCTIONS!$AC18,Data!$D$3:$E$407,2,0)&amp;" "&amp;CONSTRUCTIONS!$AC18)&amp;";"))</f>
        <v>#N/A</v>
      </c>
      <c r="B101" s="412" t="str">
        <f>IF(CONSTRUCTIONS!$D18="","","! Layer 5")</f>
        <v>! Layer 5</v>
      </c>
    </row>
    <row r="102" spans="1:2">
      <c r="A102" s="412"/>
      <c r="B102" s="412"/>
    </row>
    <row r="103" spans="1:2">
      <c r="A103" s="412" t="str">
        <f>IF(CONSTRUCTIONS!$D19="","","Construction,")</f>
        <v/>
      </c>
      <c r="B103" s="412" t="str">
        <f>IF(CONSTRUCTIONS!$D19="","","! From user CONSTRUCTIONS spreadhseet, Project Name:  "&amp;CONSTRUCTIONS!$D19&amp;". ")</f>
        <v/>
      </c>
    </row>
    <row r="104" spans="1:2">
      <c r="A104" s="412" t="str">
        <f>IF(CONSTRUCTIONS!$D19="","","    Cons "&amp;CONSTRUCTIONS!$B19&amp;",")</f>
        <v/>
      </c>
      <c r="B104" s="412" t="str">
        <f>IF(CONSTRUCTIONS!$D19="","",IF(CONSTRUCTIONS!$F19="","!   based user material selection.","!   based on template "&amp;CONSTRUCTIONS!$G19&amp;"."))</f>
        <v/>
      </c>
    </row>
    <row r="105" spans="1:2">
      <c r="A105" s="412" t="str">
        <f>IF(CONSTRUCTIONS!$D19="","",IF(CONSTRUCTIONS!$M19="","ERROR!",IF(VLOOKUP(CONSTRUCTIONS!$M19,Data!$D$3:$E$407,2,0)="","    "&amp;CONSTRUCTIONS!$M19,"    "&amp;VLOOKUP(CONSTRUCTIONS!$M19,Data!$D$3:$E$407,2,0)&amp;" "&amp;CONSTRUCTIONS!$M19)&amp;IF(CONSTRUCTIONS!$Q19="",";",",")))</f>
        <v/>
      </c>
      <c r="B105" s="412" t="str">
        <f>IF(CONSTRUCTIONS!$D19="","","! Layer 1")</f>
        <v/>
      </c>
    </row>
    <row r="106" spans="1:2">
      <c r="A106" s="412" t="str">
        <f>IF(CONSTRUCTIONS!$D19="","",IF(CONSTRUCTIONS!$Q19="","",IF(VLOOKUP(CONSTRUCTIONS!$Q19,Data!$D$3:$E$407,2,0)="","    "&amp;CONSTRUCTIONS!$Q19,"    "&amp;VLOOKUP(CONSTRUCTIONS!$Q19,Data!$D$3:$E$407,2,0)&amp;" "&amp;CONSTRUCTIONS!$Q19)&amp;IF(CONSTRUCTIONS!$U19="",";",",")))</f>
        <v/>
      </c>
      <c r="B106" s="412" t="str">
        <f>IF(CONSTRUCTIONS!$D19="","","! Layer 2")</f>
        <v/>
      </c>
    </row>
    <row r="107" spans="1:2">
      <c r="A107" s="412" t="str">
        <f>IF(CONSTRUCTIONS!$D19="","",IF(CONSTRUCTIONS!$U19="","",IF(VLOOKUP(CONSTRUCTIONS!$U19,Data!$D$3:$E$407,2,0)="","    "&amp;CONSTRUCTIONS!$U19,"    "&amp;VLOOKUP(CONSTRUCTIONS!$U19,Data!$D$3:$E$407,2,0)&amp;" "&amp;CONSTRUCTIONS!$U19)&amp;IF(CONSTRUCTIONS!$Y19="",";",",")))</f>
        <v/>
      </c>
      <c r="B107" s="412" t="str">
        <f>IF(CONSTRUCTIONS!$D19="","","! Layer 3")</f>
        <v/>
      </c>
    </row>
    <row r="108" spans="1:2">
      <c r="A108" s="412" t="str">
        <f>IF(CONSTRUCTIONS!$D19="","",IF(CONSTRUCTIONS!$Y19="","",IF(VLOOKUP(CONSTRUCTIONS!$Y19,Data!$D$3:$E$407,2,0)="","    "&amp;CONSTRUCTIONS!$Y19,"    "&amp;VLOOKUP(CONSTRUCTIONS!$Y19,Data!$D$3:$E$407,2,0)&amp;" "&amp;CONSTRUCTIONS!$Y19)&amp;IF(CONSTRUCTIONS!$AC19="",";",",")))</f>
        <v/>
      </c>
      <c r="B108" s="412" t="str">
        <f>IF(CONSTRUCTIONS!$D19="","","! Layer 4")</f>
        <v/>
      </c>
    </row>
    <row r="109" spans="1:2">
      <c r="A109" s="412" t="str">
        <f>IF(CONSTRUCTIONS!$D19="","",IF(CONSTRUCTIONS!$AC19="","",IF(VLOOKUP(CONSTRUCTIONS!$AC19,Data!$D$3:$E$407,2,0)="","    "&amp;CONSTRUCTIONS!$AC19,"    "&amp;VLOOKUP(CONSTRUCTIONS!$AC19,Data!$D$3:$E$407,2,0)&amp;" "&amp;CONSTRUCTIONS!$AC19)&amp;";"))</f>
        <v/>
      </c>
      <c r="B109" s="412" t="str">
        <f>IF(CONSTRUCTIONS!$D19="","","! Layer 5")</f>
        <v/>
      </c>
    </row>
    <row r="110" spans="1:2">
      <c r="A110" s="412"/>
      <c r="B110" s="412"/>
    </row>
    <row r="111" spans="1:2">
      <c r="A111" s="412" t="str">
        <f>IF(CONSTRUCTIONS!$D20="","","Construction,")</f>
        <v/>
      </c>
      <c r="B111" s="412" t="str">
        <f>IF(CONSTRUCTIONS!$D20="","","! From user CONSTRUCTIONS spreadhseet, Project Name:  "&amp;CONSTRUCTIONS!$D20&amp;". ")</f>
        <v/>
      </c>
    </row>
    <row r="112" spans="1:2">
      <c r="A112" s="412" t="str">
        <f>IF(CONSTRUCTIONS!$D20="","","    Cons "&amp;CONSTRUCTIONS!$B20&amp;",")</f>
        <v/>
      </c>
      <c r="B112" s="412" t="str">
        <f>IF(CONSTRUCTIONS!$D20="","",IF(CONSTRUCTIONS!$F20="","!   based user material selection.","!   based on template "&amp;CONSTRUCTIONS!$G20&amp;"."))</f>
        <v/>
      </c>
    </row>
    <row r="113" spans="1:2">
      <c r="A113" s="412" t="str">
        <f>IF(CONSTRUCTIONS!$D20="","",IF(CONSTRUCTIONS!$M20="","ERROR!",IF(VLOOKUP(CONSTRUCTIONS!$M20,Data!$D$3:$E$407,2,0)="","    "&amp;CONSTRUCTIONS!$M20,"    "&amp;VLOOKUP(CONSTRUCTIONS!$M20,Data!$D$3:$E$407,2,0)&amp;" "&amp;CONSTRUCTIONS!$M20)&amp;IF(CONSTRUCTIONS!$Q20="",";",",")))</f>
        <v/>
      </c>
      <c r="B113" s="412" t="str">
        <f>IF(CONSTRUCTIONS!$D20="","","! Layer 1")</f>
        <v/>
      </c>
    </row>
    <row r="114" spans="1:2">
      <c r="A114" s="412" t="str">
        <f>IF(CONSTRUCTIONS!$D20="","",IF(CONSTRUCTIONS!$Q20="","",IF(VLOOKUP(CONSTRUCTIONS!$Q20,Data!$D$3:$E$407,2,0)="","    "&amp;CONSTRUCTIONS!$Q20,"    "&amp;VLOOKUP(CONSTRUCTIONS!$Q20,Data!$D$3:$E$407,2,0)&amp;" "&amp;CONSTRUCTIONS!$Q20)&amp;IF(CONSTRUCTIONS!$U20="",";",",")))</f>
        <v/>
      </c>
      <c r="B114" s="412" t="str">
        <f>IF(CONSTRUCTIONS!$D20="","","! Layer 2")</f>
        <v/>
      </c>
    </row>
    <row r="115" spans="1:2">
      <c r="A115" s="412" t="str">
        <f>IF(CONSTRUCTIONS!$D20="","",IF(CONSTRUCTIONS!$U20="","",IF(VLOOKUP(CONSTRUCTIONS!$U20,Data!$D$3:$E$407,2,0)="","    "&amp;CONSTRUCTIONS!$U20,"    "&amp;VLOOKUP(CONSTRUCTIONS!$U20,Data!$D$3:$E$407,2,0)&amp;" "&amp;CONSTRUCTIONS!$U20)&amp;IF(CONSTRUCTIONS!$Y20="",";",",")))</f>
        <v/>
      </c>
      <c r="B115" s="412" t="str">
        <f>IF(CONSTRUCTIONS!$D20="","","! Layer 3")</f>
        <v/>
      </c>
    </row>
    <row r="116" spans="1:2">
      <c r="A116" s="412" t="str">
        <f>IF(CONSTRUCTIONS!$D20="","",IF(CONSTRUCTIONS!$Y20="","",IF(VLOOKUP(CONSTRUCTIONS!$Y20,Data!$D$3:$E$407,2,0)="","    "&amp;CONSTRUCTIONS!$Y20,"    "&amp;VLOOKUP(CONSTRUCTIONS!$Y20,Data!$D$3:$E$407,2,0)&amp;" "&amp;CONSTRUCTIONS!$Y20)&amp;IF(CONSTRUCTIONS!$AC20="",";",",")))</f>
        <v/>
      </c>
      <c r="B116" s="412" t="str">
        <f>IF(CONSTRUCTIONS!$D20="","","! Layer 4")</f>
        <v/>
      </c>
    </row>
    <row r="117" spans="1:2">
      <c r="A117" s="412" t="str">
        <f>IF(CONSTRUCTIONS!$D20="","",IF(CONSTRUCTIONS!$AC20="","",IF(VLOOKUP(CONSTRUCTIONS!$AC20,Data!$D$3:$E$407,2,0)="","    "&amp;CONSTRUCTIONS!$AC20,"    "&amp;VLOOKUP(CONSTRUCTIONS!$AC20,Data!$D$3:$E$407,2,0)&amp;" "&amp;CONSTRUCTIONS!$AC20)&amp;";"))</f>
        <v/>
      </c>
      <c r="B117" s="412" t="str">
        <f>IF(CONSTRUCTIONS!$D20="","","! Layer 5")</f>
        <v/>
      </c>
    </row>
    <row r="118" spans="1:2">
      <c r="A118" s="412"/>
      <c r="B118" s="412"/>
    </row>
    <row r="119" spans="1:2">
      <c r="A119" s="412" t="str">
        <f>IF(CONSTRUCTIONS!$D21="","","Construction,")</f>
        <v/>
      </c>
      <c r="B119" s="412" t="str">
        <f>IF(CONSTRUCTIONS!$D21="","","! From user CONSTRUCTIONS spreadhseet, Project Name:  "&amp;CONSTRUCTIONS!$D21&amp;". ")</f>
        <v/>
      </c>
    </row>
    <row r="120" spans="1:2">
      <c r="A120" s="412" t="str">
        <f>IF(CONSTRUCTIONS!$D21="","","    Cons "&amp;CONSTRUCTIONS!$B21&amp;",")</f>
        <v/>
      </c>
      <c r="B120" s="412" t="str">
        <f>IF(CONSTRUCTIONS!$D21="","",IF(CONSTRUCTIONS!$F21="","!   based user material selection.","!   based on template "&amp;CONSTRUCTIONS!$G21&amp;"."))</f>
        <v/>
      </c>
    </row>
    <row r="121" spans="1:2">
      <c r="A121" s="412" t="str">
        <f>IF(CONSTRUCTIONS!$D21="","",IF(CONSTRUCTIONS!$M21="","ERROR!",IF(VLOOKUP(CONSTRUCTIONS!$M21,Data!$D$3:$E$407,2,0)="","    "&amp;CONSTRUCTIONS!$M21,"    "&amp;VLOOKUP(CONSTRUCTIONS!$M21,Data!$D$3:$E$407,2,0)&amp;" "&amp;CONSTRUCTIONS!$M21)&amp;IF(CONSTRUCTIONS!$Q21="",";",",")))</f>
        <v/>
      </c>
      <c r="B121" s="412" t="str">
        <f>IF(CONSTRUCTIONS!$D21="","","! Layer 1")</f>
        <v/>
      </c>
    </row>
    <row r="122" spans="1:2">
      <c r="A122" s="412" t="str">
        <f>IF(CONSTRUCTIONS!$D21="","",IF(CONSTRUCTIONS!$Q21="","",IF(VLOOKUP(CONSTRUCTIONS!$Q21,Data!$D$3:$E$407,2,0)="","    "&amp;CONSTRUCTIONS!$Q21,"    "&amp;VLOOKUP(CONSTRUCTIONS!$Q21,Data!$D$3:$E$407,2,0)&amp;" "&amp;CONSTRUCTIONS!$Q21)&amp;IF(CONSTRUCTIONS!$U21="",";",",")))</f>
        <v/>
      </c>
      <c r="B122" s="412" t="str">
        <f>IF(CONSTRUCTIONS!$D21="","","! Layer 2")</f>
        <v/>
      </c>
    </row>
    <row r="123" spans="1:2">
      <c r="A123" s="412" t="str">
        <f>IF(CONSTRUCTIONS!$D21="","",IF(CONSTRUCTIONS!$U21="","",IF(VLOOKUP(CONSTRUCTIONS!$U21,Data!$D$3:$E$407,2,0)="","    "&amp;CONSTRUCTIONS!$U21,"    "&amp;VLOOKUP(CONSTRUCTIONS!$U21,Data!$D$3:$E$407,2,0)&amp;" "&amp;CONSTRUCTIONS!$U21)&amp;IF(CONSTRUCTIONS!$Y21="",";",",")))</f>
        <v/>
      </c>
      <c r="B123" s="412" t="str">
        <f>IF(CONSTRUCTIONS!$D21="","","! Layer 3")</f>
        <v/>
      </c>
    </row>
    <row r="124" spans="1:2">
      <c r="A124" s="412" t="str">
        <f>IF(CONSTRUCTIONS!$D21="","",IF(CONSTRUCTIONS!$Y21="","",IF(VLOOKUP(CONSTRUCTIONS!$Y21,Data!$D$3:$E$407,2,0)="","    "&amp;CONSTRUCTIONS!$Y21,"    "&amp;VLOOKUP(CONSTRUCTIONS!$Y21,Data!$D$3:$E$407,2,0)&amp;" "&amp;CONSTRUCTIONS!$Y21)&amp;IF(CONSTRUCTIONS!$AC21="",";",",")))</f>
        <v/>
      </c>
      <c r="B124" s="412" t="str">
        <f>IF(CONSTRUCTIONS!$D21="","","! Layer 4")</f>
        <v/>
      </c>
    </row>
    <row r="125" spans="1:2">
      <c r="A125" s="412" t="str">
        <f>IF(CONSTRUCTIONS!$D21="","",IF(CONSTRUCTIONS!$AC21="","",IF(VLOOKUP(CONSTRUCTIONS!$AC21,Data!$D$3:$E$407,2,0)="","    "&amp;CONSTRUCTIONS!$AC21,"    "&amp;VLOOKUP(CONSTRUCTIONS!$AC21,Data!$D$3:$E$407,2,0)&amp;" "&amp;CONSTRUCTIONS!$AC21)&amp;";"))</f>
        <v/>
      </c>
      <c r="B125" s="412" t="str">
        <f>IF(CONSTRUCTIONS!$D21="","","! Layer 5")</f>
        <v/>
      </c>
    </row>
    <row r="126" spans="1:2">
      <c r="A126" s="412"/>
      <c r="B126" s="412"/>
    </row>
    <row r="127" spans="1:2">
      <c r="A127" s="412" t="str">
        <f>IF(CONSTRUCTIONS!$D22="","","Construction,")</f>
        <v/>
      </c>
      <c r="B127" s="412" t="str">
        <f>IF(CONSTRUCTIONS!$D22="","","! From user CONSTRUCTIONS spreadhseet, Project Name:  "&amp;CONSTRUCTIONS!$D22&amp;". ")</f>
        <v/>
      </c>
    </row>
    <row r="128" spans="1:2">
      <c r="A128" s="412" t="str">
        <f>IF(CONSTRUCTIONS!$D22="","","    Cons "&amp;CONSTRUCTIONS!$B22&amp;",")</f>
        <v/>
      </c>
      <c r="B128" s="412" t="str">
        <f>IF(CONSTRUCTIONS!$D22="","",IF(CONSTRUCTIONS!$F22="","!   based user material selection.","!   based on template "&amp;CONSTRUCTIONS!$G22&amp;"."))</f>
        <v/>
      </c>
    </row>
    <row r="129" spans="1:2">
      <c r="A129" s="412" t="str">
        <f>IF(CONSTRUCTIONS!$D22="","",IF(CONSTRUCTIONS!$M22="","ERROR!",IF(VLOOKUP(CONSTRUCTIONS!$M22,Data!$D$3:$E$407,2,0)="","    "&amp;CONSTRUCTIONS!$M22,"    "&amp;VLOOKUP(CONSTRUCTIONS!$M22,Data!$D$3:$E$407,2,0)&amp;" "&amp;CONSTRUCTIONS!$M22)&amp;IF(CONSTRUCTIONS!$Q22="",";",",")))</f>
        <v/>
      </c>
      <c r="B129" s="412" t="str">
        <f>IF(CONSTRUCTIONS!$D22="","","! Layer 1")</f>
        <v/>
      </c>
    </row>
    <row r="130" spans="1:2">
      <c r="A130" s="412" t="str">
        <f>IF(CONSTRUCTIONS!$D22="","",IF(CONSTRUCTIONS!$Q22="","",IF(VLOOKUP(CONSTRUCTIONS!$Q22,Data!$D$3:$E$407,2,0)="","    "&amp;CONSTRUCTIONS!$Q22,"    "&amp;VLOOKUP(CONSTRUCTIONS!$Q22,Data!$D$3:$E$407,2,0)&amp;" "&amp;CONSTRUCTIONS!$Q22)&amp;IF(CONSTRUCTIONS!$U22="",";",",")))</f>
        <v/>
      </c>
      <c r="B130" s="412" t="str">
        <f>IF(CONSTRUCTIONS!$D22="","","! Layer 2")</f>
        <v/>
      </c>
    </row>
    <row r="131" spans="1:2">
      <c r="A131" s="412" t="str">
        <f>IF(CONSTRUCTIONS!$D22="","",IF(CONSTRUCTIONS!$U22="","",IF(VLOOKUP(CONSTRUCTIONS!$U22,Data!$D$3:$E$407,2,0)="","    "&amp;CONSTRUCTIONS!$U22,"    "&amp;VLOOKUP(CONSTRUCTIONS!$U22,Data!$D$3:$E$407,2,0)&amp;" "&amp;CONSTRUCTIONS!$U22)&amp;IF(CONSTRUCTIONS!$Y22="",";",",")))</f>
        <v/>
      </c>
      <c r="B131" s="412" t="str">
        <f>IF(CONSTRUCTIONS!$D22="","","! Layer 3")</f>
        <v/>
      </c>
    </row>
    <row r="132" spans="1:2">
      <c r="A132" s="412" t="str">
        <f>IF(CONSTRUCTIONS!$D22="","",IF(CONSTRUCTIONS!$Y22="","",IF(VLOOKUP(CONSTRUCTIONS!$Y22,Data!$D$3:$E$407,2,0)="","    "&amp;CONSTRUCTIONS!$Y22,"    "&amp;VLOOKUP(CONSTRUCTIONS!$Y22,Data!$D$3:$E$407,2,0)&amp;" "&amp;CONSTRUCTIONS!$Y22)&amp;IF(CONSTRUCTIONS!$AC22="",";",",")))</f>
        <v/>
      </c>
      <c r="B132" s="412" t="str">
        <f>IF(CONSTRUCTIONS!$D22="","","! Layer 4")</f>
        <v/>
      </c>
    </row>
    <row r="133" spans="1:2">
      <c r="A133" s="412" t="str">
        <f>IF(CONSTRUCTIONS!$D22="","",IF(CONSTRUCTIONS!$AC22="","",IF(VLOOKUP(CONSTRUCTIONS!$AC22,Data!$D$3:$E$407,2,0)="","    "&amp;CONSTRUCTIONS!$AC22,"    "&amp;VLOOKUP(CONSTRUCTIONS!$AC22,Data!$D$3:$E$407,2,0)&amp;" "&amp;CONSTRUCTIONS!$AC22)&amp;";"))</f>
        <v/>
      </c>
      <c r="B133" s="412" t="str">
        <f>IF(CONSTRUCTIONS!$D22="","","! Layer 5")</f>
        <v/>
      </c>
    </row>
    <row r="134" spans="1:2">
      <c r="A134" s="412"/>
      <c r="B134" s="412"/>
    </row>
    <row r="135" spans="1:2">
      <c r="A135" s="412" t="str">
        <f>IF(CONSTRUCTIONS!$D23="","","Construction,")</f>
        <v/>
      </c>
      <c r="B135" s="412" t="str">
        <f>IF(CONSTRUCTIONS!$D23="","","! From user CONSTRUCTIONS spreadhseet, Project Name:  "&amp;CONSTRUCTIONS!$D23&amp;". ")</f>
        <v/>
      </c>
    </row>
    <row r="136" spans="1:2">
      <c r="A136" s="412" t="str">
        <f>IF(CONSTRUCTIONS!$D23="","","    Cons "&amp;CONSTRUCTIONS!$B23&amp;",")</f>
        <v/>
      </c>
      <c r="B136" s="412" t="str">
        <f>IF(CONSTRUCTIONS!$D23="","",IF(CONSTRUCTIONS!$F23="","!   based user material selection.","!   based on template "&amp;CONSTRUCTIONS!$G23&amp;"."))</f>
        <v/>
      </c>
    </row>
    <row r="137" spans="1:2">
      <c r="A137" s="412" t="str">
        <f>IF(CONSTRUCTIONS!$D23="","",IF(CONSTRUCTIONS!$M23="","ERROR!",IF(VLOOKUP(CONSTRUCTIONS!$M23,Data!$D$3:$E$407,2,0)="","    "&amp;CONSTRUCTIONS!$M23,"    "&amp;VLOOKUP(CONSTRUCTIONS!$M23,Data!$D$3:$E$407,2,0)&amp;" "&amp;CONSTRUCTIONS!$M23)&amp;IF(CONSTRUCTIONS!$Q23="",";",",")))</f>
        <v/>
      </c>
      <c r="B137" s="412" t="str">
        <f>IF(CONSTRUCTIONS!$D23="","","! Layer 1")</f>
        <v/>
      </c>
    </row>
    <row r="138" spans="1:2">
      <c r="A138" s="412" t="str">
        <f>IF(CONSTRUCTIONS!$D23="","",IF(CONSTRUCTIONS!$Q23="","",IF(VLOOKUP(CONSTRUCTIONS!$Q23,Data!$D$3:$E$407,2,0)="","    "&amp;CONSTRUCTIONS!$Q23,"    "&amp;VLOOKUP(CONSTRUCTIONS!$Q23,Data!$D$3:$E$407,2,0)&amp;" "&amp;CONSTRUCTIONS!$Q23)&amp;IF(CONSTRUCTIONS!$U23="",";",",")))</f>
        <v/>
      </c>
      <c r="B138" s="412" t="str">
        <f>IF(CONSTRUCTIONS!$D23="","","! Layer 2")</f>
        <v/>
      </c>
    </row>
    <row r="139" spans="1:2">
      <c r="A139" s="412" t="str">
        <f>IF(CONSTRUCTIONS!$D23="","",IF(CONSTRUCTIONS!$U23="","",IF(VLOOKUP(CONSTRUCTIONS!$U23,Data!$D$3:$E$407,2,0)="","    "&amp;CONSTRUCTIONS!$U23,"    "&amp;VLOOKUP(CONSTRUCTIONS!$U23,Data!$D$3:$E$407,2,0)&amp;" "&amp;CONSTRUCTIONS!$U23)&amp;IF(CONSTRUCTIONS!$Y23="",";",",")))</f>
        <v/>
      </c>
      <c r="B139" s="412" t="str">
        <f>IF(CONSTRUCTIONS!$D23="","","! Layer 3")</f>
        <v/>
      </c>
    </row>
    <row r="140" spans="1:2">
      <c r="A140" s="412" t="str">
        <f>IF(CONSTRUCTIONS!$D23="","",IF(CONSTRUCTIONS!$Y23="","",IF(VLOOKUP(CONSTRUCTIONS!$Y23,Data!$D$3:$E$407,2,0)="","    "&amp;CONSTRUCTIONS!$Y23,"    "&amp;VLOOKUP(CONSTRUCTIONS!$Y23,Data!$D$3:$E$407,2,0)&amp;" "&amp;CONSTRUCTIONS!$Y23)&amp;IF(CONSTRUCTIONS!$AC23="",";",",")))</f>
        <v/>
      </c>
      <c r="B140" s="412" t="str">
        <f>IF(CONSTRUCTIONS!$D23="","","! Layer 4")</f>
        <v/>
      </c>
    </row>
    <row r="141" spans="1:2">
      <c r="A141" s="412" t="str">
        <f>IF(CONSTRUCTIONS!$D23="","",IF(CONSTRUCTIONS!$AC23="","",IF(VLOOKUP(CONSTRUCTIONS!$AC23,Data!$D$3:$E$407,2,0)="","    "&amp;CONSTRUCTIONS!$AC23,"    "&amp;VLOOKUP(CONSTRUCTIONS!$AC23,Data!$D$3:$E$407,2,0)&amp;" "&amp;CONSTRUCTIONS!$AC23)&amp;";"))</f>
        <v/>
      </c>
      <c r="B141" s="412" t="str">
        <f>IF(CONSTRUCTIONS!$D23="","","! Layer 5")</f>
        <v/>
      </c>
    </row>
    <row r="142" spans="1:2">
      <c r="A142" s="412"/>
      <c r="B142" s="412"/>
    </row>
    <row r="143" spans="1:2">
      <c r="A143" s="412" t="str">
        <f>IF(CONSTRUCTIONS!$D24="","","Construction,")</f>
        <v/>
      </c>
      <c r="B143" s="412" t="str">
        <f>IF(CONSTRUCTIONS!$D24="","","! From user CONSTRUCTIONS spreadhseet, Project Name:  "&amp;CONSTRUCTIONS!$D24&amp;". ")</f>
        <v/>
      </c>
    </row>
    <row r="144" spans="1:2">
      <c r="A144" s="412" t="str">
        <f>IF(CONSTRUCTIONS!$D24="","","    Cons "&amp;CONSTRUCTIONS!$B24&amp;",")</f>
        <v/>
      </c>
      <c r="B144" s="412" t="str">
        <f>IF(CONSTRUCTIONS!$D24="","",IF(CONSTRUCTIONS!$F24="","!   based user material selection.","!   based on template "&amp;CONSTRUCTIONS!$G24&amp;"."))</f>
        <v/>
      </c>
    </row>
    <row r="145" spans="1:2">
      <c r="A145" s="412" t="str">
        <f>IF(CONSTRUCTIONS!$D24="","",IF(CONSTRUCTIONS!$M24="","ERROR!",IF(VLOOKUP(CONSTRUCTIONS!$M24,Data!$D$3:$E$407,2,0)="","    "&amp;CONSTRUCTIONS!$M24,"    "&amp;VLOOKUP(CONSTRUCTIONS!$M24,Data!$D$3:$E$407,2,0)&amp;" "&amp;CONSTRUCTIONS!$M24)&amp;IF(CONSTRUCTIONS!$Q24="",";",",")))</f>
        <v/>
      </c>
      <c r="B145" s="412" t="str">
        <f>IF(CONSTRUCTIONS!$D24="","","! Layer 1")</f>
        <v/>
      </c>
    </row>
    <row r="146" spans="1:2">
      <c r="A146" s="412" t="str">
        <f>IF(CONSTRUCTIONS!$D24="","",IF(CONSTRUCTIONS!$Q24="","",IF(VLOOKUP(CONSTRUCTIONS!$Q24,Data!$D$3:$E$407,2,0)="","    "&amp;CONSTRUCTIONS!$Q24,"    "&amp;VLOOKUP(CONSTRUCTIONS!$Q24,Data!$D$3:$E$407,2,0)&amp;" "&amp;CONSTRUCTIONS!$Q24)&amp;IF(CONSTRUCTIONS!$U24="",";",",")))</f>
        <v/>
      </c>
      <c r="B146" s="412" t="str">
        <f>IF(CONSTRUCTIONS!$D24="","","! Layer 2")</f>
        <v/>
      </c>
    </row>
    <row r="147" spans="1:2">
      <c r="A147" s="412" t="str">
        <f>IF(CONSTRUCTIONS!$D24="","",IF(CONSTRUCTIONS!$U24="","",IF(VLOOKUP(CONSTRUCTIONS!$U24,Data!$D$3:$E$407,2,0)="","    "&amp;CONSTRUCTIONS!$U24,"    "&amp;VLOOKUP(CONSTRUCTIONS!$U24,Data!$D$3:$E$407,2,0)&amp;" "&amp;CONSTRUCTIONS!$U24)&amp;IF(CONSTRUCTIONS!$Y24="",";",",")))</f>
        <v/>
      </c>
      <c r="B147" s="412" t="str">
        <f>IF(CONSTRUCTIONS!$D24="","","! Layer 3")</f>
        <v/>
      </c>
    </row>
    <row r="148" spans="1:2">
      <c r="A148" s="412" t="str">
        <f>IF(CONSTRUCTIONS!$D24="","",IF(CONSTRUCTIONS!$Y24="","",IF(VLOOKUP(CONSTRUCTIONS!$Y24,Data!$D$3:$E$407,2,0)="","    "&amp;CONSTRUCTIONS!$Y24,"    "&amp;VLOOKUP(CONSTRUCTIONS!$Y24,Data!$D$3:$E$407,2,0)&amp;" "&amp;CONSTRUCTIONS!$Y24)&amp;IF(CONSTRUCTIONS!$AC24="",";",",")))</f>
        <v/>
      </c>
      <c r="B148" s="412" t="str">
        <f>IF(CONSTRUCTIONS!$D24="","","! Layer 4")</f>
        <v/>
      </c>
    </row>
    <row r="149" spans="1:2">
      <c r="A149" s="412" t="str">
        <f>IF(CONSTRUCTIONS!$D24="","",IF(CONSTRUCTIONS!$AC24="","",IF(VLOOKUP(CONSTRUCTIONS!$AC24,Data!$D$3:$E$407,2,0)="","    "&amp;CONSTRUCTIONS!$AC24,"    "&amp;VLOOKUP(CONSTRUCTIONS!$AC24,Data!$D$3:$E$407,2,0)&amp;" "&amp;CONSTRUCTIONS!$AC24)&amp;";"))</f>
        <v/>
      </c>
      <c r="B149" s="412" t="str">
        <f>IF(CONSTRUCTIONS!$D24="","","! Layer 5")</f>
        <v/>
      </c>
    </row>
    <row r="150" spans="1:2">
      <c r="A150" s="412"/>
      <c r="B150" s="412"/>
    </row>
    <row r="151" spans="1:2">
      <c r="A151" s="412" t="str">
        <f>IF(CONSTRUCTIONS!$D25="","","Construction,")</f>
        <v/>
      </c>
      <c r="B151" s="412" t="str">
        <f>IF(CONSTRUCTIONS!$D25="","","! From user CONSTRUCTIONS spreadhseet, Project Name:  "&amp;CONSTRUCTIONS!$D25&amp;". ")</f>
        <v/>
      </c>
    </row>
    <row r="152" spans="1:2">
      <c r="A152" s="412" t="str">
        <f>IF(CONSTRUCTIONS!$D25="","","    Cons "&amp;CONSTRUCTIONS!$B25&amp;",")</f>
        <v/>
      </c>
      <c r="B152" s="412" t="str">
        <f>IF(CONSTRUCTIONS!$D25="","",IF(CONSTRUCTIONS!$F25="","!   based user material selection.","!   based on template "&amp;CONSTRUCTIONS!$G25&amp;"."))</f>
        <v/>
      </c>
    </row>
    <row r="153" spans="1:2">
      <c r="A153" s="412" t="str">
        <f>IF(CONSTRUCTIONS!$D25="","",IF(CONSTRUCTIONS!$M25="","ERROR!",IF(VLOOKUP(CONSTRUCTIONS!$M25,Data!$D$3:$E$407,2,0)="","    "&amp;CONSTRUCTIONS!$M25,"    "&amp;VLOOKUP(CONSTRUCTIONS!$M25,Data!$D$3:$E$407,2,0)&amp;" "&amp;CONSTRUCTIONS!$M25)&amp;IF(CONSTRUCTIONS!$Q25="",";",",")))</f>
        <v/>
      </c>
      <c r="B153" s="412" t="str">
        <f>IF(CONSTRUCTIONS!$D25="","","! Layer 1")</f>
        <v/>
      </c>
    </row>
    <row r="154" spans="1:2">
      <c r="A154" s="412" t="str">
        <f>IF(CONSTRUCTIONS!$D25="","",IF(CONSTRUCTIONS!$Q25="","",IF(VLOOKUP(CONSTRUCTIONS!$Q25,Data!$D$3:$E$407,2,0)="","    "&amp;CONSTRUCTIONS!$Q25,"    "&amp;VLOOKUP(CONSTRUCTIONS!$Q25,Data!$D$3:$E$407,2,0)&amp;" "&amp;CONSTRUCTIONS!$Q25)&amp;IF(CONSTRUCTIONS!$U25="",";",",")))</f>
        <v/>
      </c>
      <c r="B154" s="412" t="str">
        <f>IF(CONSTRUCTIONS!$D25="","","! Layer 2")</f>
        <v/>
      </c>
    </row>
    <row r="155" spans="1:2">
      <c r="A155" s="412" t="str">
        <f>IF(CONSTRUCTIONS!$D25="","",IF(CONSTRUCTIONS!$U25="","",IF(VLOOKUP(CONSTRUCTIONS!$U25,Data!$D$3:$E$407,2,0)="","    "&amp;CONSTRUCTIONS!$U25,"    "&amp;VLOOKUP(CONSTRUCTIONS!$U25,Data!$D$3:$E$407,2,0)&amp;" "&amp;CONSTRUCTIONS!$U25)&amp;IF(CONSTRUCTIONS!$Y25="",";",",")))</f>
        <v/>
      </c>
      <c r="B155" s="412" t="str">
        <f>IF(CONSTRUCTIONS!$D25="","","! Layer 3")</f>
        <v/>
      </c>
    </row>
    <row r="156" spans="1:2">
      <c r="A156" s="412" t="str">
        <f>IF(CONSTRUCTIONS!$D25="","",IF(CONSTRUCTIONS!$Y25="","",IF(VLOOKUP(CONSTRUCTIONS!$Y25,Data!$D$3:$E$407,2,0)="","    "&amp;CONSTRUCTIONS!$Y25,"    "&amp;VLOOKUP(CONSTRUCTIONS!$Y25,Data!$D$3:$E$407,2,0)&amp;" "&amp;CONSTRUCTIONS!$Y25)&amp;IF(CONSTRUCTIONS!$AC25="",";",",")))</f>
        <v/>
      </c>
      <c r="B156" s="412" t="str">
        <f>IF(CONSTRUCTIONS!$D25="","","! Layer 4")</f>
        <v/>
      </c>
    </row>
    <row r="157" spans="1:2">
      <c r="A157" s="412" t="str">
        <f>IF(CONSTRUCTIONS!$D25="","",IF(CONSTRUCTIONS!$AC25="","",IF(VLOOKUP(CONSTRUCTIONS!$AC25,Data!$D$3:$E$407,2,0)="","    "&amp;CONSTRUCTIONS!$AC25,"    "&amp;VLOOKUP(CONSTRUCTIONS!$AC25,Data!$D$3:$E$407,2,0)&amp;" "&amp;CONSTRUCTIONS!$AC25)&amp;";"))</f>
        <v/>
      </c>
      <c r="B157" s="412" t="str">
        <f>IF(CONSTRUCTIONS!$D25="","","! Layer 5")</f>
        <v/>
      </c>
    </row>
    <row r="158" spans="1:2">
      <c r="A158" s="412"/>
      <c r="B158" s="412"/>
    </row>
    <row r="159" spans="1:2">
      <c r="A159" s="412" t="str">
        <f>IF(CONSTRUCTIONS!$D26="","","Construction,")</f>
        <v/>
      </c>
      <c r="B159" s="412" t="str">
        <f>IF(CONSTRUCTIONS!$D26="","","! From user CONSTRUCTIONS spreadhseet, Project Name:  "&amp;CONSTRUCTIONS!$D26&amp;". ")</f>
        <v/>
      </c>
    </row>
    <row r="160" spans="1:2">
      <c r="A160" s="412" t="str">
        <f>IF(CONSTRUCTIONS!$D26="","","    Cons "&amp;CONSTRUCTIONS!$B26&amp;",")</f>
        <v/>
      </c>
      <c r="B160" s="412" t="str">
        <f>IF(CONSTRUCTIONS!$D26="","",IF(CONSTRUCTIONS!$F26="","!   based user material selection.","!   based on template "&amp;CONSTRUCTIONS!$G26&amp;"."))</f>
        <v/>
      </c>
    </row>
    <row r="161" spans="1:2">
      <c r="A161" s="412" t="str">
        <f>IF(CONSTRUCTIONS!$D26="","",IF(CONSTRUCTIONS!$M26="","ERROR!",IF(VLOOKUP(CONSTRUCTIONS!$M26,Data!$D$3:$E$407,2,0)="","    "&amp;CONSTRUCTIONS!$M26,"    "&amp;VLOOKUP(CONSTRUCTIONS!$M26,Data!$D$3:$E$407,2,0)&amp;" "&amp;CONSTRUCTIONS!$M26)&amp;IF(CONSTRUCTIONS!$Q26="",";",",")))</f>
        <v/>
      </c>
      <c r="B161" s="412" t="str">
        <f>IF(CONSTRUCTIONS!$D26="","","! Layer 1")</f>
        <v/>
      </c>
    </row>
    <row r="162" spans="1:2">
      <c r="A162" s="412" t="str">
        <f>IF(CONSTRUCTIONS!$D26="","",IF(CONSTRUCTIONS!$Q26="","",IF(VLOOKUP(CONSTRUCTIONS!$Q26,Data!$D$3:$E$407,2,0)="","    "&amp;CONSTRUCTIONS!$Q26,"    "&amp;VLOOKUP(CONSTRUCTIONS!$Q26,Data!$D$3:$E$407,2,0)&amp;" "&amp;CONSTRUCTIONS!$Q26)&amp;IF(CONSTRUCTIONS!$U26="",";",",")))</f>
        <v/>
      </c>
      <c r="B162" s="412" t="str">
        <f>IF(CONSTRUCTIONS!$D26="","","! Layer 2")</f>
        <v/>
      </c>
    </row>
    <row r="163" spans="1:2">
      <c r="A163" s="412" t="str">
        <f>IF(CONSTRUCTIONS!$D26="","",IF(CONSTRUCTIONS!$U26="","",IF(VLOOKUP(CONSTRUCTIONS!$U26,Data!$D$3:$E$407,2,0)="","    "&amp;CONSTRUCTIONS!$U26,"    "&amp;VLOOKUP(CONSTRUCTIONS!$U26,Data!$D$3:$E$407,2,0)&amp;" "&amp;CONSTRUCTIONS!$U26)&amp;IF(CONSTRUCTIONS!$Y26="",";",",")))</f>
        <v/>
      </c>
      <c r="B163" s="412" t="str">
        <f>IF(CONSTRUCTIONS!$D26="","","! Layer 3")</f>
        <v/>
      </c>
    </row>
    <row r="164" spans="1:2">
      <c r="A164" s="412" t="str">
        <f>IF(CONSTRUCTIONS!$D26="","",IF(CONSTRUCTIONS!$Y26="","",IF(VLOOKUP(CONSTRUCTIONS!$Y26,Data!$D$3:$E$407,2,0)="","    "&amp;CONSTRUCTIONS!$Y26,"    "&amp;VLOOKUP(CONSTRUCTIONS!$Y26,Data!$D$3:$E$407,2,0)&amp;" "&amp;CONSTRUCTIONS!$Y26)&amp;IF(CONSTRUCTIONS!$AC26="",";",",")))</f>
        <v/>
      </c>
      <c r="B164" s="412" t="str">
        <f>IF(CONSTRUCTIONS!$D26="","","! Layer 4")</f>
        <v/>
      </c>
    </row>
    <row r="165" spans="1:2">
      <c r="A165" s="412" t="str">
        <f>IF(CONSTRUCTIONS!$D26="","",IF(CONSTRUCTIONS!$AC26="","",IF(VLOOKUP(CONSTRUCTIONS!$AC26,Data!$D$3:$E$407,2,0)="","    "&amp;CONSTRUCTIONS!$AC26,"    "&amp;VLOOKUP(CONSTRUCTIONS!$AC26,Data!$D$3:$E$407,2,0)&amp;" "&amp;CONSTRUCTIONS!$AC26)&amp;";"))</f>
        <v/>
      </c>
      <c r="B165" s="412" t="str">
        <f>IF(CONSTRUCTIONS!$D26="","","! Layer 5")</f>
        <v/>
      </c>
    </row>
    <row r="166" spans="1:2">
      <c r="A166" s="412"/>
      <c r="B166" s="412"/>
    </row>
    <row r="167" spans="1:2">
      <c r="A167" s="412" t="str">
        <f>IF(CONSTRUCTIONS!$D27="","","Construction,")</f>
        <v/>
      </c>
      <c r="B167" s="412" t="str">
        <f>IF(CONSTRUCTIONS!$D27="","","! From user CONSTRUCTIONS spreadhseet, Project Name:  "&amp;CONSTRUCTIONS!$D27&amp;". ")</f>
        <v/>
      </c>
    </row>
    <row r="168" spans="1:2">
      <c r="A168" s="412" t="str">
        <f>IF(CONSTRUCTIONS!$D27="","","    Cons "&amp;CONSTRUCTIONS!$B27&amp;",")</f>
        <v/>
      </c>
      <c r="B168" s="412" t="str">
        <f>IF(CONSTRUCTIONS!$D27="","",IF(CONSTRUCTIONS!$F27="","!   based user material selection.","!   based on template "&amp;CONSTRUCTIONS!$G27&amp;"."))</f>
        <v/>
      </c>
    </row>
    <row r="169" spans="1:2">
      <c r="A169" s="412" t="str">
        <f>IF(CONSTRUCTIONS!$D27="","",IF(CONSTRUCTIONS!$M27="","ERROR!",IF(VLOOKUP(CONSTRUCTIONS!$M27,Data!$D$3:$E$407,2,0)="","    "&amp;CONSTRUCTIONS!$M27,"    "&amp;VLOOKUP(CONSTRUCTIONS!$M27,Data!$D$3:$E$407,2,0)&amp;" "&amp;CONSTRUCTIONS!$M27)&amp;IF(CONSTRUCTIONS!$Q27="",";",",")))</f>
        <v/>
      </c>
      <c r="B169" s="412" t="str">
        <f>IF(CONSTRUCTIONS!$D27="","","! Layer 1")</f>
        <v/>
      </c>
    </row>
    <row r="170" spans="1:2">
      <c r="A170" s="412" t="str">
        <f>IF(CONSTRUCTIONS!$D27="","",IF(CONSTRUCTIONS!$Q27="","",IF(VLOOKUP(CONSTRUCTIONS!$Q27,Data!$D$3:$E$407,2,0)="","    "&amp;CONSTRUCTIONS!$Q27,"    "&amp;VLOOKUP(CONSTRUCTIONS!$Q27,Data!$D$3:$E$407,2,0)&amp;" "&amp;CONSTRUCTIONS!$Q27)&amp;IF(CONSTRUCTIONS!$U27="",";",",")))</f>
        <v/>
      </c>
      <c r="B170" s="412" t="str">
        <f>IF(CONSTRUCTIONS!$D27="","","! Layer 2")</f>
        <v/>
      </c>
    </row>
    <row r="171" spans="1:2">
      <c r="A171" s="412" t="str">
        <f>IF(CONSTRUCTIONS!$D27="","",IF(CONSTRUCTIONS!$U27="","",IF(VLOOKUP(CONSTRUCTIONS!$U27,Data!$D$3:$E$407,2,0)="","    "&amp;CONSTRUCTIONS!$U27,"    "&amp;VLOOKUP(CONSTRUCTIONS!$U27,Data!$D$3:$E$407,2,0)&amp;" "&amp;CONSTRUCTIONS!$U27)&amp;IF(CONSTRUCTIONS!$Y27="",";",",")))</f>
        <v/>
      </c>
      <c r="B171" s="412" t="str">
        <f>IF(CONSTRUCTIONS!$D27="","","! Layer 3")</f>
        <v/>
      </c>
    </row>
    <row r="172" spans="1:2">
      <c r="A172" s="412" t="str">
        <f>IF(CONSTRUCTIONS!$D27="","",IF(CONSTRUCTIONS!$Y27="","",IF(VLOOKUP(CONSTRUCTIONS!$Y27,Data!$D$3:$E$407,2,0)="","    "&amp;CONSTRUCTIONS!$Y27,"    "&amp;VLOOKUP(CONSTRUCTIONS!$Y27,Data!$D$3:$E$407,2,0)&amp;" "&amp;CONSTRUCTIONS!$Y27)&amp;IF(CONSTRUCTIONS!$AC27="",";",",")))</f>
        <v/>
      </c>
      <c r="B172" s="412" t="str">
        <f>IF(CONSTRUCTIONS!$D27="","","! Layer 4")</f>
        <v/>
      </c>
    </row>
    <row r="173" spans="1:2">
      <c r="A173" s="412" t="str">
        <f>IF(CONSTRUCTIONS!$D27="","",IF(CONSTRUCTIONS!$AC27="","",IF(VLOOKUP(CONSTRUCTIONS!$AC27,Data!$D$3:$E$407,2,0)="","    "&amp;CONSTRUCTIONS!$AC27,"    "&amp;VLOOKUP(CONSTRUCTIONS!$AC27,Data!$D$3:$E$407,2,0)&amp;" "&amp;CONSTRUCTIONS!$AC27)&amp;";"))</f>
        <v/>
      </c>
      <c r="B173" s="412" t="str">
        <f>IF(CONSTRUCTIONS!$D27="","","! Layer 5")</f>
        <v/>
      </c>
    </row>
    <row r="174" spans="1:2">
      <c r="A174" s="412"/>
      <c r="B174" s="412"/>
    </row>
    <row r="175" spans="1:2">
      <c r="A175" s="412" t="str">
        <f>IF(CONSTRUCTIONS!$D28="","","Construction,")</f>
        <v/>
      </c>
      <c r="B175" s="412" t="str">
        <f>IF(CONSTRUCTIONS!$D28="","","! From user CONSTRUCTIONS spreadhseet, Project Name:  "&amp;CONSTRUCTIONS!$D28&amp;". ")</f>
        <v/>
      </c>
    </row>
    <row r="176" spans="1:2">
      <c r="A176" s="412" t="str">
        <f>IF(CONSTRUCTIONS!$D28="","","    Cons "&amp;CONSTRUCTIONS!$B28&amp;",")</f>
        <v/>
      </c>
      <c r="B176" s="412" t="str">
        <f>IF(CONSTRUCTIONS!$D28="","",IF(CONSTRUCTIONS!$F28="","!   based user material selection.","!   based on template "&amp;CONSTRUCTIONS!$G28&amp;"."))</f>
        <v/>
      </c>
    </row>
    <row r="177" spans="1:2">
      <c r="A177" s="412" t="str">
        <f>IF(CONSTRUCTIONS!$D28="","",IF(CONSTRUCTIONS!$M28="","ERROR!",IF(VLOOKUP(CONSTRUCTIONS!$M28,Data!$D$3:$E$407,2,0)="","    "&amp;CONSTRUCTIONS!$M28,"    "&amp;VLOOKUP(CONSTRUCTIONS!$M28,Data!$D$3:$E$407,2,0)&amp;" "&amp;CONSTRUCTIONS!$M28)&amp;IF(CONSTRUCTIONS!$Q28="",";",",")))</f>
        <v/>
      </c>
      <c r="B177" s="412" t="str">
        <f>IF(CONSTRUCTIONS!$D28="","","! Layer 1")</f>
        <v/>
      </c>
    </row>
    <row r="178" spans="1:2">
      <c r="A178" s="412" t="str">
        <f>IF(CONSTRUCTIONS!$D28="","",IF(CONSTRUCTIONS!$Q28="","",IF(VLOOKUP(CONSTRUCTIONS!$Q28,Data!$D$3:$E$407,2,0)="","    "&amp;CONSTRUCTIONS!$Q28,"    "&amp;VLOOKUP(CONSTRUCTIONS!$Q28,Data!$D$3:$E$407,2,0)&amp;" "&amp;CONSTRUCTIONS!$Q28)&amp;IF(CONSTRUCTIONS!$U28="",";",",")))</f>
        <v/>
      </c>
      <c r="B178" s="412" t="str">
        <f>IF(CONSTRUCTIONS!$D28="","","! Layer 2")</f>
        <v/>
      </c>
    </row>
    <row r="179" spans="1:2">
      <c r="A179" s="412" t="str">
        <f>IF(CONSTRUCTIONS!$D28="","",IF(CONSTRUCTIONS!$U28="","",IF(VLOOKUP(CONSTRUCTIONS!$U28,Data!$D$3:$E$407,2,0)="","    "&amp;CONSTRUCTIONS!$U28,"    "&amp;VLOOKUP(CONSTRUCTIONS!$U28,Data!$D$3:$E$407,2,0)&amp;" "&amp;CONSTRUCTIONS!$U28)&amp;IF(CONSTRUCTIONS!$Y28="",";",",")))</f>
        <v/>
      </c>
      <c r="B179" s="412" t="str">
        <f>IF(CONSTRUCTIONS!$D28="","","! Layer 3")</f>
        <v/>
      </c>
    </row>
    <row r="180" spans="1:2">
      <c r="A180" s="412" t="str">
        <f>IF(CONSTRUCTIONS!$D28="","",IF(CONSTRUCTIONS!$Y28="","",IF(VLOOKUP(CONSTRUCTIONS!$Y28,Data!$D$3:$E$407,2,0)="","    "&amp;CONSTRUCTIONS!$Y28,"    "&amp;VLOOKUP(CONSTRUCTIONS!$Y28,Data!$D$3:$E$407,2,0)&amp;" "&amp;CONSTRUCTIONS!$Y28)&amp;IF(CONSTRUCTIONS!$AC28="",";",",")))</f>
        <v/>
      </c>
      <c r="B180" s="412" t="str">
        <f>IF(CONSTRUCTIONS!$D28="","","! Layer 4")</f>
        <v/>
      </c>
    </row>
    <row r="181" spans="1:2">
      <c r="A181" s="412" t="str">
        <f>IF(CONSTRUCTIONS!$D28="","",IF(CONSTRUCTIONS!$AC28="","",IF(VLOOKUP(CONSTRUCTIONS!$AC28,Data!$D$3:$E$407,2,0)="","    "&amp;CONSTRUCTIONS!$AC28,"    "&amp;VLOOKUP(CONSTRUCTIONS!$AC28,Data!$D$3:$E$407,2,0)&amp;" "&amp;CONSTRUCTIONS!$AC28)&amp;";"))</f>
        <v/>
      </c>
      <c r="B181" s="412" t="str">
        <f>IF(CONSTRUCTIONS!$D28="","","! Layer 5")</f>
        <v/>
      </c>
    </row>
    <row r="182" spans="1:2">
      <c r="A182" s="412"/>
      <c r="B182" s="412"/>
    </row>
    <row r="183" spans="1:2">
      <c r="A183" s="412" t="str">
        <f>IF(CONSTRUCTIONS!$D29="","","Construction,")</f>
        <v/>
      </c>
      <c r="B183" s="412" t="str">
        <f>IF(CONSTRUCTIONS!$D29="","","! From user CONSTRUCTIONS spreadhseet, Project Name:  "&amp;CONSTRUCTIONS!$D29&amp;". ")</f>
        <v/>
      </c>
    </row>
    <row r="184" spans="1:2">
      <c r="A184" s="412" t="str">
        <f>IF(CONSTRUCTIONS!$D29="","","    Cons "&amp;CONSTRUCTIONS!$B29&amp;",")</f>
        <v/>
      </c>
      <c r="B184" s="412" t="str">
        <f>IF(CONSTRUCTIONS!$D29="","",IF(CONSTRUCTIONS!$F29="","!   based user material selection.","!   based on template "&amp;CONSTRUCTIONS!$G29&amp;"."))</f>
        <v/>
      </c>
    </row>
    <row r="185" spans="1:2">
      <c r="A185" s="412" t="str">
        <f>IF(CONSTRUCTIONS!$D29="","",IF(CONSTRUCTIONS!$M29="","ERROR!",IF(VLOOKUP(CONSTRUCTIONS!$M29,Data!$D$3:$E$407,2,0)="","    "&amp;CONSTRUCTIONS!$M29,"    "&amp;VLOOKUP(CONSTRUCTIONS!$M29,Data!$D$3:$E$407,2,0)&amp;" "&amp;CONSTRUCTIONS!$M29)&amp;IF(CONSTRUCTIONS!$Q29="",";",",")))</f>
        <v/>
      </c>
      <c r="B185" s="412" t="str">
        <f>IF(CONSTRUCTIONS!$D29="","","! Layer 1")</f>
        <v/>
      </c>
    </row>
    <row r="186" spans="1:2">
      <c r="A186" s="412" t="str">
        <f>IF(CONSTRUCTIONS!$D29="","",IF(CONSTRUCTIONS!$Q29="","",IF(VLOOKUP(CONSTRUCTIONS!$Q29,Data!$D$3:$E$407,2,0)="","    "&amp;CONSTRUCTIONS!$Q29,"    "&amp;VLOOKUP(CONSTRUCTIONS!$Q29,Data!$D$3:$E$407,2,0)&amp;" "&amp;CONSTRUCTIONS!$Q29)&amp;IF(CONSTRUCTIONS!$U29="",";",",")))</f>
        <v/>
      </c>
      <c r="B186" s="412" t="str">
        <f>IF(CONSTRUCTIONS!$D29="","","! Layer 2")</f>
        <v/>
      </c>
    </row>
    <row r="187" spans="1:2">
      <c r="A187" s="412" t="str">
        <f>IF(CONSTRUCTIONS!$D29="","",IF(CONSTRUCTIONS!$U29="","",IF(VLOOKUP(CONSTRUCTIONS!$U29,Data!$D$3:$E$407,2,0)="","    "&amp;CONSTRUCTIONS!$U29,"    "&amp;VLOOKUP(CONSTRUCTIONS!$U29,Data!$D$3:$E$407,2,0)&amp;" "&amp;CONSTRUCTIONS!$U29)&amp;IF(CONSTRUCTIONS!$Y29="",";",",")))</f>
        <v/>
      </c>
      <c r="B187" s="412" t="str">
        <f>IF(CONSTRUCTIONS!$D29="","","! Layer 3")</f>
        <v/>
      </c>
    </row>
    <row r="188" spans="1:2">
      <c r="A188" s="412" t="str">
        <f>IF(CONSTRUCTIONS!$D29="","",IF(CONSTRUCTIONS!$Y29="","",IF(VLOOKUP(CONSTRUCTIONS!$Y29,Data!$D$3:$E$407,2,0)="","    "&amp;CONSTRUCTIONS!$Y29,"    "&amp;VLOOKUP(CONSTRUCTIONS!$Y29,Data!$D$3:$E$407,2,0)&amp;" "&amp;CONSTRUCTIONS!$Y29)&amp;IF(CONSTRUCTIONS!$AC29="",";",",")))</f>
        <v/>
      </c>
      <c r="B188" s="412" t="str">
        <f>IF(CONSTRUCTIONS!$D29="","","! Layer 4")</f>
        <v/>
      </c>
    </row>
    <row r="189" spans="1:2">
      <c r="A189" s="412" t="str">
        <f>IF(CONSTRUCTIONS!$D29="","",IF(CONSTRUCTIONS!$AC29="","",IF(VLOOKUP(CONSTRUCTIONS!$AC29,Data!$D$3:$E$407,2,0)="","    "&amp;CONSTRUCTIONS!$AC29,"    "&amp;VLOOKUP(CONSTRUCTIONS!$AC29,Data!$D$3:$E$407,2,0)&amp;" "&amp;CONSTRUCTIONS!$AC29)&amp;";"))</f>
        <v/>
      </c>
      <c r="B189" s="412" t="str">
        <f>IF(CONSTRUCTIONS!$D29="","","! Layer 5")</f>
        <v/>
      </c>
    </row>
    <row r="190" spans="1:2">
      <c r="A190" s="412"/>
      <c r="B190" s="412"/>
    </row>
    <row r="191" spans="1:2">
      <c r="A191" s="412" t="str">
        <f>IF(CONSTRUCTIONS!$D30="","","Construction,")</f>
        <v/>
      </c>
      <c r="B191" s="412" t="str">
        <f>IF(CONSTRUCTIONS!$D30="","","! From user CONSTRUCTIONS spreadhseet, Project Name:  "&amp;CONSTRUCTIONS!$D30&amp;". ")</f>
        <v/>
      </c>
    </row>
    <row r="192" spans="1:2">
      <c r="A192" s="412" t="str">
        <f>IF(CONSTRUCTIONS!$D30="","","    Cons "&amp;CONSTRUCTIONS!$B30&amp;",")</f>
        <v/>
      </c>
      <c r="B192" s="412" t="str">
        <f>IF(CONSTRUCTIONS!$D30="","",IF(CONSTRUCTIONS!$F30="","!   based user material selection.","!   based on template "&amp;CONSTRUCTIONS!$G30&amp;"."))</f>
        <v/>
      </c>
    </row>
    <row r="193" spans="1:2">
      <c r="A193" s="412" t="str">
        <f>IF(CONSTRUCTIONS!$D30="","",IF(CONSTRUCTIONS!$M30="","ERROR!",IF(VLOOKUP(CONSTRUCTIONS!$M30,Data!$D$3:$E$407,2,0)="","    "&amp;CONSTRUCTIONS!$M30,"    "&amp;VLOOKUP(CONSTRUCTIONS!$M30,Data!$D$3:$E$407,2,0)&amp;" "&amp;CONSTRUCTIONS!$M30)&amp;IF(CONSTRUCTIONS!$Q30="",";",",")))</f>
        <v/>
      </c>
      <c r="B193" s="412" t="str">
        <f>IF(CONSTRUCTIONS!$D30="","","! Layer 1")</f>
        <v/>
      </c>
    </row>
    <row r="194" spans="1:2">
      <c r="A194" s="412" t="str">
        <f>IF(CONSTRUCTIONS!$D30="","",IF(CONSTRUCTIONS!$Q30="","",IF(VLOOKUP(CONSTRUCTIONS!$Q30,Data!$D$3:$E$407,2,0)="","    "&amp;CONSTRUCTIONS!$Q30,"    "&amp;VLOOKUP(CONSTRUCTIONS!$Q30,Data!$D$3:$E$407,2,0)&amp;" "&amp;CONSTRUCTIONS!$Q30)&amp;IF(CONSTRUCTIONS!$U30="",";",",")))</f>
        <v/>
      </c>
      <c r="B194" s="412" t="str">
        <f>IF(CONSTRUCTIONS!$D30="","","! Layer 2")</f>
        <v/>
      </c>
    </row>
    <row r="195" spans="1:2">
      <c r="A195" s="412" t="str">
        <f>IF(CONSTRUCTIONS!$D30="","",IF(CONSTRUCTIONS!$U30="","",IF(VLOOKUP(CONSTRUCTIONS!$U30,Data!$D$3:$E$407,2,0)="","    "&amp;CONSTRUCTIONS!$U30,"    "&amp;VLOOKUP(CONSTRUCTIONS!$U30,Data!$D$3:$E$407,2,0)&amp;" "&amp;CONSTRUCTIONS!$U30)&amp;IF(CONSTRUCTIONS!$Y30="",";",",")))</f>
        <v/>
      </c>
      <c r="B195" s="412" t="str">
        <f>IF(CONSTRUCTIONS!$D30="","","! Layer 3")</f>
        <v/>
      </c>
    </row>
    <row r="196" spans="1:2">
      <c r="A196" s="412" t="str">
        <f>IF(CONSTRUCTIONS!$D30="","",IF(CONSTRUCTIONS!$Y30="","",IF(VLOOKUP(CONSTRUCTIONS!$Y30,Data!$D$3:$E$407,2,0)="","    "&amp;CONSTRUCTIONS!$Y30,"    "&amp;VLOOKUP(CONSTRUCTIONS!$Y30,Data!$D$3:$E$407,2,0)&amp;" "&amp;CONSTRUCTIONS!$Y30)&amp;IF(CONSTRUCTIONS!$AC30="",";",",")))</f>
        <v/>
      </c>
      <c r="B196" s="412" t="str">
        <f>IF(CONSTRUCTIONS!$D30="","","! Layer 4")</f>
        <v/>
      </c>
    </row>
    <row r="197" spans="1:2">
      <c r="A197" s="412" t="str">
        <f>IF(CONSTRUCTIONS!$D30="","",IF(CONSTRUCTIONS!$AC30="","",IF(VLOOKUP(CONSTRUCTIONS!$AC30,Data!$D$3:$E$407,2,0)="","    "&amp;CONSTRUCTIONS!$AC30,"    "&amp;VLOOKUP(CONSTRUCTIONS!$AC30,Data!$D$3:$E$407,2,0)&amp;" "&amp;CONSTRUCTIONS!$AC30)&amp;";"))</f>
        <v/>
      </c>
      <c r="B197" s="412" t="str">
        <f>IF(CONSTRUCTIONS!$D30="","","! Layer 5")</f>
        <v/>
      </c>
    </row>
    <row r="198" spans="1:2">
      <c r="A198" s="412"/>
      <c r="B198" s="412"/>
    </row>
    <row r="199" spans="1:2">
      <c r="A199" s="412" t="str">
        <f>IF(CONSTRUCTIONS!$D32="","","Construction,")</f>
        <v/>
      </c>
      <c r="B199" s="412" t="str">
        <f>IF(CONSTRUCTIONS!$D32="","","! From user CONSTRUCTIONS spreadhseet, Project Name:  "&amp;CONSTRUCTIONS!$D32&amp;". ")</f>
        <v/>
      </c>
    </row>
    <row r="200" spans="1:2">
      <c r="A200" s="412" t="str">
        <f>IF(CONSTRUCTIONS!$D32="","","    Cons "&amp;CONSTRUCTIONS!$B32&amp;",")</f>
        <v/>
      </c>
      <c r="B200" s="412" t="str">
        <f>IF(CONSTRUCTIONS!$D32="","",IF(CONSTRUCTIONS!$F32="","!   based user material selection.","!   based on template "&amp;CONSTRUCTIONS!$G32&amp;"."))</f>
        <v/>
      </c>
    </row>
    <row r="201" spans="1:2">
      <c r="A201" s="412" t="str">
        <f>IF(CONSTRUCTIONS!$D32="","",IF(CONSTRUCTIONS!$M32="","ERROR!",IF(VLOOKUP(CONSTRUCTIONS!$M32,Data!$D$3:$E$407,2,0)="","    "&amp;CONSTRUCTIONS!$M32,"    "&amp;VLOOKUP(CONSTRUCTIONS!$M32,Data!$D$3:$E$407,2,0)&amp;" "&amp;CONSTRUCTIONS!$M32)&amp;IF(CONSTRUCTIONS!$Q32="",";",",")))</f>
        <v/>
      </c>
      <c r="B201" s="412" t="str">
        <f>IF(CONSTRUCTIONS!$D32="","","! Layer 1")</f>
        <v/>
      </c>
    </row>
    <row r="202" spans="1:2">
      <c r="A202" s="412" t="str">
        <f>IF(CONSTRUCTIONS!$D32="","",IF(CONSTRUCTIONS!$Q32="","",IF(VLOOKUP(CONSTRUCTIONS!$Q32,Data!$D$3:$E$407,2,0)="","    "&amp;CONSTRUCTIONS!$Q32,"    "&amp;VLOOKUP(CONSTRUCTIONS!$Q32,Data!$D$3:$E$407,2,0)&amp;" "&amp;CONSTRUCTIONS!$Q32)&amp;IF(CONSTRUCTIONS!$U32="",";",",")))</f>
        <v/>
      </c>
      <c r="B202" s="412" t="str">
        <f>IF(CONSTRUCTIONS!$D32="","","! Layer 2")</f>
        <v/>
      </c>
    </row>
    <row r="203" spans="1:2">
      <c r="A203" s="412" t="str">
        <f>IF(CONSTRUCTIONS!$D32="","",IF(CONSTRUCTIONS!$U32="","",IF(VLOOKUP(CONSTRUCTIONS!$U32,Data!$D$3:$E$407,2,0)="","    "&amp;CONSTRUCTIONS!$U32,"    "&amp;VLOOKUP(CONSTRUCTIONS!$U32,Data!$D$3:$E$407,2,0)&amp;" "&amp;CONSTRUCTIONS!$U32)&amp;IF(CONSTRUCTIONS!$Y32="",";",",")))</f>
        <v/>
      </c>
      <c r="B203" s="412" t="str">
        <f>IF(CONSTRUCTIONS!$D32="","","! Layer 3")</f>
        <v/>
      </c>
    </row>
    <row r="204" spans="1:2">
      <c r="A204" s="412" t="str">
        <f>IF(CONSTRUCTIONS!$D32="","",IF(CONSTRUCTIONS!$Y32="","",IF(VLOOKUP(CONSTRUCTIONS!$Y32,Data!$D$3:$E$407,2,0)="","    "&amp;CONSTRUCTIONS!$Y32,"    "&amp;VLOOKUP(CONSTRUCTIONS!$Y32,Data!$D$3:$E$407,2,0)&amp;" "&amp;CONSTRUCTIONS!$Y32)&amp;IF(CONSTRUCTIONS!$AC32="",";",",")))</f>
        <v/>
      </c>
      <c r="B204" s="412" t="str">
        <f>IF(CONSTRUCTIONS!$D32="","","! Layer 4")</f>
        <v/>
      </c>
    </row>
    <row r="205" spans="1:2">
      <c r="A205" s="412" t="str">
        <f>IF(CONSTRUCTIONS!$D32="","",IF(CONSTRUCTIONS!$AC32="","",IF(VLOOKUP(CONSTRUCTIONS!$AC32,Data!$D$3:$E$407,2,0)="","    "&amp;CONSTRUCTIONS!$AC32,"    "&amp;VLOOKUP(CONSTRUCTIONS!$AC32,Data!$D$3:$E$407,2,0)&amp;" "&amp;CONSTRUCTIONS!$AC32)&amp;";"))</f>
        <v/>
      </c>
      <c r="B205" s="412" t="str">
        <f>IF(CONSTRUCTIONS!$D32="","","! Layer 5")</f>
        <v/>
      </c>
    </row>
    <row r="206" spans="1:2">
      <c r="A206" s="412"/>
      <c r="B206" s="412"/>
    </row>
    <row r="207" spans="1:2">
      <c r="A207" s="412" t="str">
        <f>IF(CONSTRUCTIONS!$D33="","","Construction,")</f>
        <v/>
      </c>
      <c r="B207" s="412" t="str">
        <f>IF(CONSTRUCTIONS!$D33="","","! From user CONSTRUCTIONS spreadhseet, Project Name:  "&amp;CONSTRUCTIONS!$D33&amp;". ")</f>
        <v/>
      </c>
    </row>
    <row r="208" spans="1:2">
      <c r="A208" s="412" t="str">
        <f>IF(CONSTRUCTIONS!$D33="","","    Cons "&amp;CONSTRUCTIONS!$B33&amp;",")</f>
        <v/>
      </c>
      <c r="B208" s="412" t="str">
        <f>IF(CONSTRUCTIONS!$D33="","",IF(CONSTRUCTIONS!$F33="","!   based user material selection.","!   based on template "&amp;CONSTRUCTIONS!$G33&amp;"."))</f>
        <v/>
      </c>
    </row>
    <row r="209" spans="1:2">
      <c r="A209" s="412" t="str">
        <f>IF(CONSTRUCTIONS!$D33="","",IF(CONSTRUCTIONS!$M33="","ERROR!",IF(VLOOKUP(CONSTRUCTIONS!$M33,Data!$D$3:$E$407,2,0)="","    "&amp;CONSTRUCTIONS!$M33,"    "&amp;VLOOKUP(CONSTRUCTIONS!$M33,Data!$D$3:$E$407,2,0)&amp;" "&amp;CONSTRUCTIONS!$M33)&amp;IF(CONSTRUCTIONS!$Q33="",";",",")))</f>
        <v/>
      </c>
      <c r="B209" s="412" t="str">
        <f>IF(CONSTRUCTIONS!$D33="","","! Layer 1")</f>
        <v/>
      </c>
    </row>
    <row r="210" spans="1:2">
      <c r="A210" s="412" t="str">
        <f>IF(CONSTRUCTIONS!$D33="","",IF(CONSTRUCTIONS!$Q33="","",IF(VLOOKUP(CONSTRUCTIONS!$Q33,Data!$D$3:$E$407,2,0)="","    "&amp;CONSTRUCTIONS!$Q33,"    "&amp;VLOOKUP(CONSTRUCTIONS!$Q33,Data!$D$3:$E$407,2,0)&amp;" "&amp;CONSTRUCTIONS!$Q33)&amp;IF(CONSTRUCTIONS!$U33="",";",",")))</f>
        <v/>
      </c>
      <c r="B210" s="412" t="str">
        <f>IF(CONSTRUCTIONS!$D33="","","! Layer 2")</f>
        <v/>
      </c>
    </row>
    <row r="211" spans="1:2">
      <c r="A211" s="412" t="str">
        <f>IF(CONSTRUCTIONS!$D33="","",IF(CONSTRUCTIONS!$U33="","",IF(VLOOKUP(CONSTRUCTIONS!$U33,Data!$D$3:$E$407,2,0)="","    "&amp;CONSTRUCTIONS!$U33,"    "&amp;VLOOKUP(CONSTRUCTIONS!$U33,Data!$D$3:$E$407,2,0)&amp;" "&amp;CONSTRUCTIONS!$U33)&amp;IF(CONSTRUCTIONS!$Y33="",";",",")))</f>
        <v/>
      </c>
      <c r="B211" s="412" t="str">
        <f>IF(CONSTRUCTIONS!$D33="","","! Layer 3")</f>
        <v/>
      </c>
    </row>
    <row r="212" spans="1:2">
      <c r="A212" s="412" t="str">
        <f>IF(CONSTRUCTIONS!$D33="","",IF(CONSTRUCTIONS!$Y33="","",IF(VLOOKUP(CONSTRUCTIONS!$Y33,Data!$D$3:$E$407,2,0)="","    "&amp;CONSTRUCTIONS!$Y33,"    "&amp;VLOOKUP(CONSTRUCTIONS!$Y33,Data!$D$3:$E$407,2,0)&amp;" "&amp;CONSTRUCTIONS!$Y33)&amp;IF(CONSTRUCTIONS!$AC33="",";",",")))</f>
        <v/>
      </c>
      <c r="B212" s="412" t="str">
        <f>IF(CONSTRUCTIONS!$D33="","","! Layer 4")</f>
        <v/>
      </c>
    </row>
    <row r="213" spans="1:2">
      <c r="A213" s="412" t="str">
        <f>IF(CONSTRUCTIONS!$D33="","",IF(CONSTRUCTIONS!$AC33="","",IF(VLOOKUP(CONSTRUCTIONS!$AC33,Data!$D$3:$E$407,2,0)="","    "&amp;CONSTRUCTIONS!$AC33,"    "&amp;VLOOKUP(CONSTRUCTIONS!$AC33,Data!$D$3:$E$407,2,0)&amp;" "&amp;CONSTRUCTIONS!$AC33)&amp;";"))</f>
        <v/>
      </c>
      <c r="B213" s="412" t="str">
        <f>IF(CONSTRUCTIONS!$D33="","","! Layer 5")</f>
        <v/>
      </c>
    </row>
    <row r="214" spans="1:2">
      <c r="A214" s="412"/>
      <c r="B214" s="412"/>
    </row>
    <row r="215" spans="1:2">
      <c r="A215" s="412" t="str">
        <f>IF(CONSTRUCTIONS!$D34="","","Construction,")</f>
        <v/>
      </c>
      <c r="B215" s="412" t="str">
        <f>IF(CONSTRUCTIONS!$D34="","","! From user CONSTRUCTIONS spreadhseet, Project Name:  "&amp;CONSTRUCTIONS!$D34&amp;". ")</f>
        <v/>
      </c>
    </row>
    <row r="216" spans="1:2">
      <c r="A216" s="412" t="str">
        <f>IF(CONSTRUCTIONS!$D34="","","    Cons "&amp;CONSTRUCTIONS!$B34&amp;",")</f>
        <v/>
      </c>
      <c r="B216" s="412" t="str">
        <f>IF(CONSTRUCTIONS!$D34="","",IF(CONSTRUCTIONS!$F34="","!   based user material selection.","!   based on template "&amp;CONSTRUCTIONS!$G34&amp;"."))</f>
        <v/>
      </c>
    </row>
    <row r="217" spans="1:2">
      <c r="A217" s="412" t="str">
        <f>IF(CONSTRUCTIONS!$D34="","",IF(CONSTRUCTIONS!$M34="","ERROR!",IF(VLOOKUP(CONSTRUCTIONS!$M34,Data!$D$3:$E$407,2,0)="","    "&amp;CONSTRUCTIONS!$M34,"    "&amp;VLOOKUP(CONSTRUCTIONS!$M34,Data!$D$3:$E$407,2,0)&amp;" "&amp;CONSTRUCTIONS!$M34)&amp;IF(CONSTRUCTIONS!$Q34="",";",",")))</f>
        <v/>
      </c>
      <c r="B217" s="412" t="str">
        <f>IF(CONSTRUCTIONS!$D34="","","! Layer 1")</f>
        <v/>
      </c>
    </row>
    <row r="218" spans="1:2">
      <c r="A218" s="412" t="str">
        <f>IF(CONSTRUCTIONS!$D34="","",IF(CONSTRUCTIONS!$Q34="","",IF(VLOOKUP(CONSTRUCTIONS!$Q34,Data!$D$3:$E$407,2,0)="","    "&amp;CONSTRUCTIONS!$Q34,"    "&amp;VLOOKUP(CONSTRUCTIONS!$Q34,Data!$D$3:$E$407,2,0)&amp;" "&amp;CONSTRUCTIONS!$Q34)&amp;IF(CONSTRUCTIONS!$U34="",";",",")))</f>
        <v/>
      </c>
      <c r="B218" s="412" t="str">
        <f>IF(CONSTRUCTIONS!$D34="","","! Layer 2")</f>
        <v/>
      </c>
    </row>
    <row r="219" spans="1:2">
      <c r="A219" s="412" t="str">
        <f>IF(CONSTRUCTIONS!$D34="","",IF(CONSTRUCTIONS!$U34="","",IF(VLOOKUP(CONSTRUCTIONS!$U34,Data!$D$3:$E$407,2,0)="","    "&amp;CONSTRUCTIONS!$U34,"    "&amp;VLOOKUP(CONSTRUCTIONS!$U34,Data!$D$3:$E$407,2,0)&amp;" "&amp;CONSTRUCTIONS!$U34)&amp;IF(CONSTRUCTIONS!$Y34="",";",",")))</f>
        <v/>
      </c>
      <c r="B219" s="412" t="str">
        <f>IF(CONSTRUCTIONS!$D34="","","! Layer 3")</f>
        <v/>
      </c>
    </row>
    <row r="220" spans="1:2">
      <c r="A220" s="412" t="str">
        <f>IF(CONSTRUCTIONS!$D34="","",IF(CONSTRUCTIONS!$Y34="","",IF(VLOOKUP(CONSTRUCTIONS!$Y34,Data!$D$3:$E$407,2,0)="","    "&amp;CONSTRUCTIONS!$Y34,"    "&amp;VLOOKUP(CONSTRUCTIONS!$Y34,Data!$D$3:$E$407,2,0)&amp;" "&amp;CONSTRUCTIONS!$Y34)&amp;IF(CONSTRUCTIONS!$AC34="",";",",")))</f>
        <v/>
      </c>
      <c r="B220" s="412" t="str">
        <f>IF(CONSTRUCTIONS!$D34="","","! Layer 4")</f>
        <v/>
      </c>
    </row>
    <row r="221" spans="1:2">
      <c r="A221" s="412" t="str">
        <f>IF(CONSTRUCTIONS!$D34="","",IF(CONSTRUCTIONS!$AC34="","",IF(VLOOKUP(CONSTRUCTIONS!$AC34,Data!$D$3:$E$407,2,0)="","    "&amp;CONSTRUCTIONS!$AC34,"    "&amp;VLOOKUP(CONSTRUCTIONS!$AC34,Data!$D$3:$E$407,2,0)&amp;" "&amp;CONSTRUCTIONS!$AC34)&amp;";"))</f>
        <v/>
      </c>
      <c r="B221" s="412" t="str">
        <f>IF(CONSTRUCTIONS!$D34="","","! Layer 5")</f>
        <v/>
      </c>
    </row>
    <row r="222" spans="1:2">
      <c r="A222" s="412"/>
      <c r="B222" s="412"/>
    </row>
    <row r="223" spans="1:2">
      <c r="A223" s="412" t="str">
        <f>IF(CONSTRUCTIONS!$D35="","","Construction,")</f>
        <v/>
      </c>
      <c r="B223" s="412" t="str">
        <f>IF(CONSTRUCTIONS!$D35="","","! From user CONSTRUCTIONS spreadhseet, Project Name:  "&amp;CONSTRUCTIONS!$D35&amp;". ")</f>
        <v/>
      </c>
    </row>
    <row r="224" spans="1:2">
      <c r="A224" s="412" t="str">
        <f>IF(CONSTRUCTIONS!$D35="","","    Cons "&amp;CONSTRUCTIONS!$B35&amp;",")</f>
        <v/>
      </c>
      <c r="B224" s="412" t="str">
        <f>IF(CONSTRUCTIONS!$D35="","",IF(CONSTRUCTIONS!$F35="","!   based user material selection.","!   based on template "&amp;CONSTRUCTIONS!$G35&amp;"."))</f>
        <v/>
      </c>
    </row>
    <row r="225" spans="1:2">
      <c r="A225" s="412" t="str">
        <f>IF(CONSTRUCTIONS!$D35="","",IF(CONSTRUCTIONS!$M35="","ERROR!",IF(VLOOKUP(CONSTRUCTIONS!$M35,Data!$D$3:$E$407,2,0)="","    "&amp;CONSTRUCTIONS!$M35,"    "&amp;VLOOKUP(CONSTRUCTIONS!$M35,Data!$D$3:$E$407,2,0)&amp;" "&amp;CONSTRUCTIONS!$M35)&amp;IF(CONSTRUCTIONS!$Q35="",";",",")))</f>
        <v/>
      </c>
      <c r="B225" s="412" t="str">
        <f>IF(CONSTRUCTIONS!$D35="","","! Layer 1")</f>
        <v/>
      </c>
    </row>
    <row r="226" spans="1:2">
      <c r="A226" s="412" t="str">
        <f>IF(CONSTRUCTIONS!$D35="","",IF(CONSTRUCTIONS!$Q35="","",IF(VLOOKUP(CONSTRUCTIONS!$Q35,Data!$D$3:$E$407,2,0)="","    "&amp;CONSTRUCTIONS!$Q35,"    "&amp;VLOOKUP(CONSTRUCTIONS!$Q35,Data!$D$3:$E$407,2,0)&amp;" "&amp;CONSTRUCTIONS!$Q35)&amp;IF(CONSTRUCTIONS!$U35="",";",",")))</f>
        <v/>
      </c>
      <c r="B226" s="412" t="str">
        <f>IF(CONSTRUCTIONS!$D35="","","! Layer 2")</f>
        <v/>
      </c>
    </row>
    <row r="227" spans="1:2">
      <c r="A227" s="412" t="str">
        <f>IF(CONSTRUCTIONS!$D35="","",IF(CONSTRUCTIONS!$U35="","",IF(VLOOKUP(CONSTRUCTIONS!$U35,Data!$D$3:$E$407,2,0)="","    "&amp;CONSTRUCTIONS!$U35,"    "&amp;VLOOKUP(CONSTRUCTIONS!$U35,Data!$D$3:$E$407,2,0)&amp;" "&amp;CONSTRUCTIONS!$U35)&amp;IF(CONSTRUCTIONS!$Y35="",";",",")))</f>
        <v/>
      </c>
      <c r="B227" s="412" t="str">
        <f>IF(CONSTRUCTIONS!$D35="","","! Layer 3")</f>
        <v/>
      </c>
    </row>
    <row r="228" spans="1:2">
      <c r="A228" s="412" t="str">
        <f>IF(CONSTRUCTIONS!$D35="","",IF(CONSTRUCTIONS!$Y35="","",IF(VLOOKUP(CONSTRUCTIONS!$Y35,Data!$D$3:$E$407,2,0)="","    "&amp;CONSTRUCTIONS!$Y35,"    "&amp;VLOOKUP(CONSTRUCTIONS!$Y35,Data!$D$3:$E$407,2,0)&amp;" "&amp;CONSTRUCTIONS!$Y35)&amp;IF(CONSTRUCTIONS!$AC35="",";",",")))</f>
        <v/>
      </c>
      <c r="B228" s="412" t="str">
        <f>IF(CONSTRUCTIONS!$D35="","","! Layer 4")</f>
        <v/>
      </c>
    </row>
    <row r="229" spans="1:2">
      <c r="A229" s="412" t="str">
        <f>IF(CONSTRUCTIONS!$D35="","",IF(CONSTRUCTIONS!$AC35="","",IF(VLOOKUP(CONSTRUCTIONS!$AC35,Data!$D$3:$E$407,2,0)="","    "&amp;CONSTRUCTIONS!$AC35,"    "&amp;VLOOKUP(CONSTRUCTIONS!$AC35,Data!$D$3:$E$407,2,0)&amp;" "&amp;CONSTRUCTIONS!$AC35)&amp;";"))</f>
        <v/>
      </c>
      <c r="B229" s="412" t="str">
        <f>IF(CONSTRUCTIONS!$D35="","","! Layer 5")</f>
        <v/>
      </c>
    </row>
    <row r="230" spans="1:2">
      <c r="A230" s="412"/>
      <c r="B230" s="412"/>
    </row>
    <row r="231" spans="1:2">
      <c r="A231" s="412" t="str">
        <f>IF(CONSTRUCTIONS!$D36="","","Construction,")</f>
        <v/>
      </c>
      <c r="B231" s="412" t="str">
        <f>IF(CONSTRUCTIONS!$D36="","","! From user CONSTRUCTIONS spreadhseet, Project Name:  "&amp;CONSTRUCTIONS!$D36&amp;". ")</f>
        <v/>
      </c>
    </row>
    <row r="232" spans="1:2">
      <c r="A232" s="412" t="str">
        <f>IF(CONSTRUCTIONS!$D36="","","    Cons "&amp;CONSTRUCTIONS!$B36&amp;",")</f>
        <v/>
      </c>
      <c r="B232" s="412" t="str">
        <f>IF(CONSTRUCTIONS!$D36="","",IF(CONSTRUCTIONS!$F36="","!   based user material selection.","!   based on template "&amp;CONSTRUCTIONS!$G36&amp;"."))</f>
        <v/>
      </c>
    </row>
    <row r="233" spans="1:2">
      <c r="A233" s="412" t="str">
        <f>IF(CONSTRUCTIONS!$D36="","",IF(CONSTRUCTIONS!$M36="","ERROR!",IF(VLOOKUP(CONSTRUCTIONS!$M36,Data!$D$3:$E$407,2,0)="","    "&amp;CONSTRUCTIONS!$M36,"    "&amp;VLOOKUP(CONSTRUCTIONS!$M36,Data!$D$3:$E$407,2,0)&amp;" "&amp;CONSTRUCTIONS!$M36)&amp;IF(CONSTRUCTIONS!$Q36="",";",",")))</f>
        <v/>
      </c>
      <c r="B233" s="412" t="str">
        <f>IF(CONSTRUCTIONS!$D36="","","! Layer 1")</f>
        <v/>
      </c>
    </row>
    <row r="234" spans="1:2">
      <c r="A234" s="412" t="str">
        <f>IF(CONSTRUCTIONS!$D36="","",IF(CONSTRUCTIONS!$Q36="","",IF(VLOOKUP(CONSTRUCTIONS!$Q36,Data!$D$3:$E$407,2,0)="","    "&amp;CONSTRUCTIONS!$Q36,"    "&amp;VLOOKUP(CONSTRUCTIONS!$Q36,Data!$D$3:$E$407,2,0)&amp;" "&amp;CONSTRUCTIONS!$Q36)&amp;IF(CONSTRUCTIONS!$U36="",";",",")))</f>
        <v/>
      </c>
      <c r="B234" s="412" t="str">
        <f>IF(CONSTRUCTIONS!$D36="","","! Layer 2")</f>
        <v/>
      </c>
    </row>
    <row r="235" spans="1:2">
      <c r="A235" s="412" t="str">
        <f>IF(CONSTRUCTIONS!$D36="","",IF(CONSTRUCTIONS!$U36="","",IF(VLOOKUP(CONSTRUCTIONS!$U36,Data!$D$3:$E$407,2,0)="","    "&amp;CONSTRUCTIONS!$U36,"    "&amp;VLOOKUP(CONSTRUCTIONS!$U36,Data!$D$3:$E$407,2,0)&amp;" "&amp;CONSTRUCTIONS!$U36)&amp;IF(CONSTRUCTIONS!$Y36="",";",",")))</f>
        <v/>
      </c>
      <c r="B235" s="412" t="str">
        <f>IF(CONSTRUCTIONS!$D36="","","! Layer 3")</f>
        <v/>
      </c>
    </row>
    <row r="236" spans="1:2">
      <c r="A236" s="412" t="str">
        <f>IF(CONSTRUCTIONS!$D36="","",IF(CONSTRUCTIONS!$Y36="","",IF(VLOOKUP(CONSTRUCTIONS!$Y36,Data!$D$3:$E$407,2,0)="","    "&amp;CONSTRUCTIONS!$Y36,"    "&amp;VLOOKUP(CONSTRUCTIONS!$Y36,Data!$D$3:$E$407,2,0)&amp;" "&amp;CONSTRUCTIONS!$Y36)&amp;IF(CONSTRUCTIONS!$AC36="",";",",")))</f>
        <v/>
      </c>
      <c r="B236" s="412" t="str">
        <f>IF(CONSTRUCTIONS!$D36="","","! Layer 4")</f>
        <v/>
      </c>
    </row>
    <row r="237" spans="1:2">
      <c r="A237" s="412" t="str">
        <f>IF(CONSTRUCTIONS!$D36="","",IF(CONSTRUCTIONS!$AC36="","",IF(VLOOKUP(CONSTRUCTIONS!$AC36,Data!$D$3:$E$407,2,0)="","    "&amp;CONSTRUCTIONS!$AC36,"    "&amp;VLOOKUP(CONSTRUCTIONS!$AC36,Data!$D$3:$E$407,2,0)&amp;" "&amp;CONSTRUCTIONS!$AC36)&amp;";"))</f>
        <v/>
      </c>
      <c r="B237" s="412" t="str">
        <f>IF(CONSTRUCTIONS!$D36="","","! Layer 5")</f>
        <v/>
      </c>
    </row>
    <row r="238" spans="1:2">
      <c r="A238" s="412"/>
      <c r="B238" s="412"/>
    </row>
    <row r="239" spans="1:2">
      <c r="A239" s="412" t="str">
        <f>IF(CONSTRUCTIONS!$D37="","","Construction,")</f>
        <v/>
      </c>
      <c r="B239" s="412" t="str">
        <f>IF(CONSTRUCTIONS!$D37="","","! From user CONSTRUCTIONS spreadhseet, Project Name:  "&amp;CONSTRUCTIONS!$D37&amp;". ")</f>
        <v/>
      </c>
    </row>
    <row r="240" spans="1:2">
      <c r="A240" s="412" t="str">
        <f>IF(CONSTRUCTIONS!$D37="","","    Cons "&amp;CONSTRUCTIONS!$B37&amp;",")</f>
        <v/>
      </c>
      <c r="B240" s="412" t="str">
        <f>IF(CONSTRUCTIONS!$D37="","",IF(CONSTRUCTIONS!$F37="","!   based user material selection.","!   based on template "&amp;CONSTRUCTIONS!$G37&amp;"."))</f>
        <v/>
      </c>
    </row>
    <row r="241" spans="1:2">
      <c r="A241" s="412" t="str">
        <f>IF(CONSTRUCTIONS!$D37="","",IF(CONSTRUCTIONS!$M37="","ERROR!",IF(VLOOKUP(CONSTRUCTIONS!$M37,Data!$D$3:$E$407,2,0)="","    "&amp;CONSTRUCTIONS!$M37,"    "&amp;VLOOKUP(CONSTRUCTIONS!$M37,Data!$D$3:$E$407,2,0)&amp;" "&amp;CONSTRUCTIONS!$M37)&amp;IF(CONSTRUCTIONS!$Q37="",";",",")))</f>
        <v/>
      </c>
      <c r="B241" s="412" t="str">
        <f>IF(CONSTRUCTIONS!$D37="","","! Layer 1")</f>
        <v/>
      </c>
    </row>
    <row r="242" spans="1:2">
      <c r="A242" s="412" t="str">
        <f>IF(CONSTRUCTIONS!$D37="","",IF(CONSTRUCTIONS!$Q37="","",IF(VLOOKUP(CONSTRUCTIONS!$Q37,Data!$D$3:$E$407,2,0)="","    "&amp;CONSTRUCTIONS!$Q37,"    "&amp;VLOOKUP(CONSTRUCTIONS!$Q37,Data!$D$3:$E$407,2,0)&amp;" "&amp;CONSTRUCTIONS!$Q37)&amp;IF(CONSTRUCTIONS!$U37="",";",",")))</f>
        <v/>
      </c>
      <c r="B242" s="412" t="str">
        <f>IF(CONSTRUCTIONS!$D37="","","! Layer 2")</f>
        <v/>
      </c>
    </row>
    <row r="243" spans="1:2">
      <c r="A243" s="412" t="str">
        <f>IF(CONSTRUCTIONS!$D37="","",IF(CONSTRUCTIONS!$U37="","",IF(VLOOKUP(CONSTRUCTIONS!$U37,Data!$D$3:$E$407,2,0)="","    "&amp;CONSTRUCTIONS!$U37,"    "&amp;VLOOKUP(CONSTRUCTIONS!$U37,Data!$D$3:$E$407,2,0)&amp;" "&amp;CONSTRUCTIONS!$U37)&amp;IF(CONSTRUCTIONS!$Y37="",";",",")))</f>
        <v/>
      </c>
      <c r="B243" s="412" t="str">
        <f>IF(CONSTRUCTIONS!$D37="","","! Layer 3")</f>
        <v/>
      </c>
    </row>
    <row r="244" spans="1:2">
      <c r="A244" s="412" t="str">
        <f>IF(CONSTRUCTIONS!$D37="","",IF(CONSTRUCTIONS!$Y37="","",IF(VLOOKUP(CONSTRUCTIONS!$Y37,Data!$D$3:$E$407,2,0)="","    "&amp;CONSTRUCTIONS!$Y37,"    "&amp;VLOOKUP(CONSTRUCTIONS!$Y37,Data!$D$3:$E$407,2,0)&amp;" "&amp;CONSTRUCTIONS!$Y37)&amp;IF(CONSTRUCTIONS!$AC37="",";",",")))</f>
        <v/>
      </c>
      <c r="B244" s="412" t="str">
        <f>IF(CONSTRUCTIONS!$D37="","","! Layer 4")</f>
        <v/>
      </c>
    </row>
    <row r="245" spans="1:2">
      <c r="A245" s="412" t="str">
        <f>IF(CONSTRUCTIONS!$D37="","",IF(CONSTRUCTIONS!$AC37="","",IF(VLOOKUP(CONSTRUCTIONS!$AC37,Data!$D$3:$E$407,2,0)="","    "&amp;CONSTRUCTIONS!$AC37,"    "&amp;VLOOKUP(CONSTRUCTIONS!$AC37,Data!$D$3:$E$407,2,0)&amp;" "&amp;CONSTRUCTIONS!$AC37)&amp;";"))</f>
        <v/>
      </c>
      <c r="B245" s="412" t="str">
        <f>IF(CONSTRUCTIONS!$D37="","","! Layer 5")</f>
        <v/>
      </c>
    </row>
    <row r="246" spans="1:2">
      <c r="A246" s="412"/>
      <c r="B246" s="412"/>
    </row>
    <row r="247" spans="1:2">
      <c r="A247" s="412" t="str">
        <f>IF(CONSTRUCTIONS!$D38="","","Construction,")</f>
        <v/>
      </c>
      <c r="B247" s="412" t="str">
        <f>IF(CONSTRUCTIONS!$D38="","","! From user CONSTRUCTIONS spreadhseet, Project Name:  "&amp;CONSTRUCTIONS!$D38&amp;". ")</f>
        <v/>
      </c>
    </row>
    <row r="248" spans="1:2">
      <c r="A248" s="412" t="str">
        <f>IF(CONSTRUCTIONS!$D38="","","    Cons "&amp;CONSTRUCTIONS!$B38&amp;",")</f>
        <v/>
      </c>
      <c r="B248" s="412" t="str">
        <f>IF(CONSTRUCTIONS!$D38="","",IF(CONSTRUCTIONS!$F38="","!   based user material selection.","!   based on template "&amp;CONSTRUCTIONS!$G38&amp;"."))</f>
        <v/>
      </c>
    </row>
    <row r="249" spans="1:2">
      <c r="A249" s="412" t="str">
        <f>IF(CONSTRUCTIONS!$D38="","",IF(CONSTRUCTIONS!$M38="","ERROR!",IF(VLOOKUP(CONSTRUCTIONS!$M38,Data!$D$3:$E$407,2,0)="","    "&amp;CONSTRUCTIONS!$M38,"    "&amp;VLOOKUP(CONSTRUCTIONS!$M38,Data!$D$3:$E$407,2,0)&amp;" "&amp;CONSTRUCTIONS!$M38)&amp;IF(CONSTRUCTIONS!$Q38="",";",",")))</f>
        <v/>
      </c>
      <c r="B249" s="412" t="str">
        <f>IF(CONSTRUCTIONS!$D38="","","! Layer 1")</f>
        <v/>
      </c>
    </row>
    <row r="250" spans="1:2">
      <c r="A250" s="412" t="str">
        <f>IF(CONSTRUCTIONS!$D38="","",IF(CONSTRUCTIONS!$Q38="","",IF(VLOOKUP(CONSTRUCTIONS!$Q38,Data!$D$3:$E$407,2,0)="","    "&amp;CONSTRUCTIONS!$Q38,"    "&amp;VLOOKUP(CONSTRUCTIONS!$Q38,Data!$D$3:$E$407,2,0)&amp;" "&amp;CONSTRUCTIONS!$Q38)&amp;IF(CONSTRUCTIONS!$U38="",";",",")))</f>
        <v/>
      </c>
      <c r="B250" s="412" t="str">
        <f>IF(CONSTRUCTIONS!$D38="","","! Layer 2")</f>
        <v/>
      </c>
    </row>
    <row r="251" spans="1:2">
      <c r="A251" s="412" t="str">
        <f>IF(CONSTRUCTIONS!$D38="","",IF(CONSTRUCTIONS!$U38="","",IF(VLOOKUP(CONSTRUCTIONS!$U38,Data!$D$3:$E$407,2,0)="","    "&amp;CONSTRUCTIONS!$U38,"    "&amp;VLOOKUP(CONSTRUCTIONS!$U38,Data!$D$3:$E$407,2,0)&amp;" "&amp;CONSTRUCTIONS!$U38)&amp;IF(CONSTRUCTIONS!$Y38="",";",",")))</f>
        <v/>
      </c>
      <c r="B251" s="412" t="str">
        <f>IF(CONSTRUCTIONS!$D38="","","! Layer 3")</f>
        <v/>
      </c>
    </row>
    <row r="252" spans="1:2">
      <c r="A252" s="412" t="str">
        <f>IF(CONSTRUCTIONS!$D38="","",IF(CONSTRUCTIONS!$Y38="","",IF(VLOOKUP(CONSTRUCTIONS!$Y38,Data!$D$3:$E$407,2,0)="","    "&amp;CONSTRUCTIONS!$Y38,"    "&amp;VLOOKUP(CONSTRUCTIONS!$Y38,Data!$D$3:$E$407,2,0)&amp;" "&amp;CONSTRUCTIONS!$Y38)&amp;IF(CONSTRUCTIONS!$AC38="",";",",")))</f>
        <v/>
      </c>
      <c r="B252" s="412" t="str">
        <f>IF(CONSTRUCTIONS!$D38="","","! Layer 4")</f>
        <v/>
      </c>
    </row>
    <row r="253" spans="1:2">
      <c r="A253" s="412" t="str">
        <f>IF(CONSTRUCTIONS!$D38="","",IF(CONSTRUCTIONS!$AC38="","",IF(VLOOKUP(CONSTRUCTIONS!$AC38,Data!$D$3:$E$407,2,0)="","    "&amp;CONSTRUCTIONS!$AC38,"    "&amp;VLOOKUP(CONSTRUCTIONS!$AC38,Data!$D$3:$E$407,2,0)&amp;" "&amp;CONSTRUCTIONS!$AC38)&amp;";"))</f>
        <v/>
      </c>
      <c r="B253" s="412" t="str">
        <f>IF(CONSTRUCTIONS!$D38="","","! Layer 5")</f>
        <v/>
      </c>
    </row>
    <row r="254" spans="1:2">
      <c r="A254" s="412"/>
      <c r="B254" s="412"/>
    </row>
    <row r="255" spans="1:2">
      <c r="A255" s="412" t="str">
        <f>IF(CONSTRUCTIONS!$D39="","","Construction,")</f>
        <v/>
      </c>
      <c r="B255" s="412" t="str">
        <f>IF(CONSTRUCTIONS!$D39="","","! From user CONSTRUCTIONS spreadhseet, Project Name:  "&amp;CONSTRUCTIONS!$D39&amp;". ")</f>
        <v/>
      </c>
    </row>
    <row r="256" spans="1:2">
      <c r="A256" s="412" t="str">
        <f>IF(CONSTRUCTIONS!$D39="","","    Cons "&amp;CONSTRUCTIONS!$B39&amp;",")</f>
        <v/>
      </c>
      <c r="B256" s="412" t="str">
        <f>IF(CONSTRUCTIONS!$D39="","",IF(CONSTRUCTIONS!$F39="","!   based user material selection.","!   based on template "&amp;CONSTRUCTIONS!$G39&amp;"."))</f>
        <v/>
      </c>
    </row>
    <row r="257" spans="1:2">
      <c r="A257" s="412" t="str">
        <f>IF(CONSTRUCTIONS!$D39="","",IF(CONSTRUCTIONS!$M39="","ERROR!",IF(VLOOKUP(CONSTRUCTIONS!$M39,Data!$D$3:$E$407,2,0)="","    "&amp;CONSTRUCTIONS!$M39,"    "&amp;VLOOKUP(CONSTRUCTIONS!$M39,Data!$D$3:$E$407,2,0)&amp;" "&amp;CONSTRUCTIONS!$M39)&amp;IF(CONSTRUCTIONS!$Q39="",";",",")))</f>
        <v/>
      </c>
      <c r="B257" s="412" t="str">
        <f>IF(CONSTRUCTIONS!$D39="","","! Layer 1")</f>
        <v/>
      </c>
    </row>
    <row r="258" spans="1:2">
      <c r="A258" s="412" t="str">
        <f>IF(CONSTRUCTIONS!$D39="","",IF(CONSTRUCTIONS!$Q39="","",IF(VLOOKUP(CONSTRUCTIONS!$Q39,Data!$D$3:$E$407,2,0)="","    "&amp;CONSTRUCTIONS!$Q39,"    "&amp;VLOOKUP(CONSTRUCTIONS!$Q39,Data!$D$3:$E$407,2,0)&amp;" "&amp;CONSTRUCTIONS!$Q39)&amp;IF(CONSTRUCTIONS!$U39="",";",",")))</f>
        <v/>
      </c>
      <c r="B258" s="412" t="str">
        <f>IF(CONSTRUCTIONS!$D39="","","! Layer 2")</f>
        <v/>
      </c>
    </row>
    <row r="259" spans="1:2">
      <c r="A259" s="412" t="str">
        <f>IF(CONSTRUCTIONS!$D39="","",IF(CONSTRUCTIONS!$U39="","",IF(VLOOKUP(CONSTRUCTIONS!$U39,Data!$D$3:$E$407,2,0)="","    "&amp;CONSTRUCTIONS!$U39,"    "&amp;VLOOKUP(CONSTRUCTIONS!$U39,Data!$D$3:$E$407,2,0)&amp;" "&amp;CONSTRUCTIONS!$U39)&amp;IF(CONSTRUCTIONS!$Y39="",";",",")))</f>
        <v/>
      </c>
      <c r="B259" s="412" t="str">
        <f>IF(CONSTRUCTIONS!$D39="","","! Layer 3")</f>
        <v/>
      </c>
    </row>
    <row r="260" spans="1:2">
      <c r="A260" s="412" t="str">
        <f>IF(CONSTRUCTIONS!$D39="","",IF(CONSTRUCTIONS!$Y39="","",IF(VLOOKUP(CONSTRUCTIONS!$Y39,Data!$D$3:$E$407,2,0)="","    "&amp;CONSTRUCTIONS!$Y39,"    "&amp;VLOOKUP(CONSTRUCTIONS!$Y39,Data!$D$3:$E$407,2,0)&amp;" "&amp;CONSTRUCTIONS!$Y39)&amp;IF(CONSTRUCTIONS!$AC39="",";",",")))</f>
        <v/>
      </c>
      <c r="B260" s="412" t="str">
        <f>IF(CONSTRUCTIONS!$D39="","","! Layer 4")</f>
        <v/>
      </c>
    </row>
    <row r="261" spans="1:2">
      <c r="A261" s="412" t="str">
        <f>IF(CONSTRUCTIONS!$D39="","",IF(CONSTRUCTIONS!$AC39="","",IF(VLOOKUP(CONSTRUCTIONS!$AC39,Data!$D$3:$E$407,2,0)="","    "&amp;CONSTRUCTIONS!$AC39,"    "&amp;VLOOKUP(CONSTRUCTIONS!$AC39,Data!$D$3:$E$407,2,0)&amp;" "&amp;CONSTRUCTIONS!$AC39)&amp;";"))</f>
        <v/>
      </c>
      <c r="B261" s="412" t="str">
        <f>IF(CONSTRUCTIONS!$D39="","","! Layer 5")</f>
        <v/>
      </c>
    </row>
    <row r="262" spans="1:2">
      <c r="A262" s="412"/>
      <c r="B262" s="412"/>
    </row>
    <row r="263" spans="1:2">
      <c r="A263" s="412" t="str">
        <f>IF(CONSTRUCTIONS!$D40="","","Construction,")</f>
        <v/>
      </c>
      <c r="B263" s="412" t="str">
        <f>IF(CONSTRUCTIONS!$D40="","","! From user CONSTRUCTIONS spreadhseet, Project Name:  "&amp;CONSTRUCTIONS!$D40&amp;". ")</f>
        <v/>
      </c>
    </row>
    <row r="264" spans="1:2">
      <c r="A264" s="412" t="str">
        <f>IF(CONSTRUCTIONS!$D40="","","    Cons "&amp;CONSTRUCTIONS!$B40&amp;",")</f>
        <v/>
      </c>
      <c r="B264" s="412" t="str">
        <f>IF(CONSTRUCTIONS!$D40="","",IF(CONSTRUCTIONS!$F40="","!   based user material selection.","!   based on template "&amp;CONSTRUCTIONS!$G40&amp;"."))</f>
        <v/>
      </c>
    </row>
    <row r="265" spans="1:2">
      <c r="A265" s="412" t="str">
        <f>IF(CONSTRUCTIONS!$D40="","",IF(CONSTRUCTIONS!$M40="","ERROR!",IF(VLOOKUP(CONSTRUCTIONS!$M40,Data!$D$3:$E$407,2,0)="","    "&amp;CONSTRUCTIONS!$M40,"    "&amp;VLOOKUP(CONSTRUCTIONS!$M40,Data!$D$3:$E$407,2,0)&amp;" "&amp;CONSTRUCTIONS!$M40)&amp;IF(CONSTRUCTIONS!$Q40="",";",",")))</f>
        <v/>
      </c>
      <c r="B265" s="412" t="str">
        <f>IF(CONSTRUCTIONS!$D40="","","! Layer 1")</f>
        <v/>
      </c>
    </row>
    <row r="266" spans="1:2">
      <c r="A266" s="412" t="str">
        <f>IF(CONSTRUCTIONS!$D40="","",IF(CONSTRUCTIONS!$Q40="","",IF(VLOOKUP(CONSTRUCTIONS!$Q40,Data!$D$3:$E$407,2,0)="","    "&amp;CONSTRUCTIONS!$Q40,"    "&amp;VLOOKUP(CONSTRUCTIONS!$Q40,Data!$D$3:$E$407,2,0)&amp;" "&amp;CONSTRUCTIONS!$Q40)&amp;IF(CONSTRUCTIONS!$U40="",";",",")))</f>
        <v/>
      </c>
      <c r="B266" s="412" t="str">
        <f>IF(CONSTRUCTIONS!$D40="","","! Layer 2")</f>
        <v/>
      </c>
    </row>
    <row r="267" spans="1:2">
      <c r="A267" s="412" t="str">
        <f>IF(CONSTRUCTIONS!$D40="","",IF(CONSTRUCTIONS!$U40="","",IF(VLOOKUP(CONSTRUCTIONS!$U40,Data!$D$3:$E$407,2,0)="","    "&amp;CONSTRUCTIONS!$U40,"    "&amp;VLOOKUP(CONSTRUCTIONS!$U40,Data!$D$3:$E$407,2,0)&amp;" "&amp;CONSTRUCTIONS!$U40)&amp;IF(CONSTRUCTIONS!$Y40="",";",",")))</f>
        <v/>
      </c>
      <c r="B267" s="412" t="str">
        <f>IF(CONSTRUCTIONS!$D40="","","! Layer 3")</f>
        <v/>
      </c>
    </row>
    <row r="268" spans="1:2">
      <c r="A268" s="412" t="str">
        <f>IF(CONSTRUCTIONS!$D40="","",IF(CONSTRUCTIONS!$Y40="","",IF(VLOOKUP(CONSTRUCTIONS!$Y40,Data!$D$3:$E$407,2,0)="","    "&amp;CONSTRUCTIONS!$Y40,"    "&amp;VLOOKUP(CONSTRUCTIONS!$Y40,Data!$D$3:$E$407,2,0)&amp;" "&amp;CONSTRUCTIONS!$Y40)&amp;IF(CONSTRUCTIONS!$AC40="",";",",")))</f>
        <v/>
      </c>
      <c r="B268" s="412" t="str">
        <f>IF(CONSTRUCTIONS!$D40="","","! Layer 4")</f>
        <v/>
      </c>
    </row>
    <row r="269" spans="1:2">
      <c r="A269" s="412" t="str">
        <f>IF(CONSTRUCTIONS!$D40="","",IF(CONSTRUCTIONS!$AC40="","",IF(VLOOKUP(CONSTRUCTIONS!$AC40,Data!$D$3:$E$407,2,0)="","    "&amp;CONSTRUCTIONS!$AC40,"    "&amp;VLOOKUP(CONSTRUCTIONS!$AC40,Data!$D$3:$E$407,2,0)&amp;" "&amp;CONSTRUCTIONS!$AC40)&amp;";"))</f>
        <v/>
      </c>
      <c r="B269" s="412" t="str">
        <f>IF(CONSTRUCTIONS!$D40="","","! Layer 5")</f>
        <v/>
      </c>
    </row>
    <row r="270" spans="1:2">
      <c r="A270" s="412"/>
      <c r="B270" s="412"/>
    </row>
    <row r="271" spans="1:2">
      <c r="A271" s="412" t="str">
        <f>IF(CONSTRUCTIONS!$D41="","","Construction,")</f>
        <v/>
      </c>
      <c r="B271" s="412" t="str">
        <f>IF(CONSTRUCTIONS!$D41="","","! From user CONSTRUCTIONS spreadhseet, Project Name:  "&amp;CONSTRUCTIONS!$D41&amp;". ")</f>
        <v/>
      </c>
    </row>
    <row r="272" spans="1:2">
      <c r="A272" s="412" t="str">
        <f>IF(CONSTRUCTIONS!$D41="","","    Cons "&amp;CONSTRUCTIONS!$B41&amp;",")</f>
        <v/>
      </c>
      <c r="B272" s="412" t="str">
        <f>IF(CONSTRUCTIONS!$D41="","",IF(CONSTRUCTIONS!$F41="","!   based user material selection.","!   based on template "&amp;CONSTRUCTIONS!$G41&amp;"."))</f>
        <v/>
      </c>
    </row>
    <row r="273" spans="1:2">
      <c r="A273" s="412" t="str">
        <f>IF(CONSTRUCTIONS!$D41="","",IF(CONSTRUCTIONS!$M41="","ERROR!",IF(VLOOKUP(CONSTRUCTIONS!$M41,Data!$D$3:$E$407,2,0)="","    "&amp;CONSTRUCTIONS!$M41,"    "&amp;VLOOKUP(CONSTRUCTIONS!$M41,Data!$D$3:$E$407,2,0)&amp;" "&amp;CONSTRUCTIONS!$M41)&amp;IF(CONSTRUCTIONS!$Q41="",";",",")))</f>
        <v/>
      </c>
      <c r="B273" s="412" t="str">
        <f>IF(CONSTRUCTIONS!$D41="","","! Layer 1")</f>
        <v/>
      </c>
    </row>
    <row r="274" spans="1:2">
      <c r="A274" s="412" t="str">
        <f>IF(CONSTRUCTIONS!$D41="","",IF(CONSTRUCTIONS!$Q41="","",IF(VLOOKUP(CONSTRUCTIONS!$Q41,Data!$D$3:$E$407,2,0)="","    "&amp;CONSTRUCTIONS!$Q41,"    "&amp;VLOOKUP(CONSTRUCTIONS!$Q41,Data!$D$3:$E$407,2,0)&amp;" "&amp;CONSTRUCTIONS!$Q41)&amp;IF(CONSTRUCTIONS!$U41="",";",",")))</f>
        <v/>
      </c>
      <c r="B274" s="412" t="str">
        <f>IF(CONSTRUCTIONS!$D41="","","! Layer 2")</f>
        <v/>
      </c>
    </row>
    <row r="275" spans="1:2">
      <c r="A275" s="412" t="str">
        <f>IF(CONSTRUCTIONS!$D41="","",IF(CONSTRUCTIONS!$U41="","",IF(VLOOKUP(CONSTRUCTIONS!$U41,Data!$D$3:$E$407,2,0)="","    "&amp;CONSTRUCTIONS!$U41,"    "&amp;VLOOKUP(CONSTRUCTIONS!$U41,Data!$D$3:$E$407,2,0)&amp;" "&amp;CONSTRUCTIONS!$U41)&amp;IF(CONSTRUCTIONS!$Y41="",";",",")))</f>
        <v/>
      </c>
      <c r="B275" s="412" t="str">
        <f>IF(CONSTRUCTIONS!$D41="","","! Layer 3")</f>
        <v/>
      </c>
    </row>
    <row r="276" spans="1:2">
      <c r="A276" s="412" t="str">
        <f>IF(CONSTRUCTIONS!$D41="","",IF(CONSTRUCTIONS!$Y41="","",IF(VLOOKUP(CONSTRUCTIONS!$Y41,Data!$D$3:$E$407,2,0)="","    "&amp;CONSTRUCTIONS!$Y41,"    "&amp;VLOOKUP(CONSTRUCTIONS!$Y41,Data!$D$3:$E$407,2,0)&amp;" "&amp;CONSTRUCTIONS!$Y41)&amp;IF(CONSTRUCTIONS!$AC41="",";",",")))</f>
        <v/>
      </c>
      <c r="B276" s="412" t="str">
        <f>IF(CONSTRUCTIONS!$D41="","","! Layer 4")</f>
        <v/>
      </c>
    </row>
    <row r="277" spans="1:2">
      <c r="A277" s="412" t="str">
        <f>IF(CONSTRUCTIONS!$D41="","",IF(CONSTRUCTIONS!$AC41="","",IF(VLOOKUP(CONSTRUCTIONS!$AC41,Data!$D$3:$E$407,2,0)="","    "&amp;CONSTRUCTIONS!$AC41,"    "&amp;VLOOKUP(CONSTRUCTIONS!$AC41,Data!$D$3:$E$407,2,0)&amp;" "&amp;CONSTRUCTIONS!$AC41)&amp;";"))</f>
        <v/>
      </c>
      <c r="B277" s="412" t="str">
        <f>IF(CONSTRUCTIONS!$D41="","","! Layer 5")</f>
        <v/>
      </c>
    </row>
    <row r="278" spans="1:2">
      <c r="A278" s="412"/>
      <c r="B278" s="412"/>
    </row>
    <row r="279" spans="1:2">
      <c r="A279" s="412" t="str">
        <f>IF(CONSTRUCTIONS!$D42="","","Construction,")</f>
        <v/>
      </c>
      <c r="B279" s="412" t="str">
        <f>IF(CONSTRUCTIONS!$D42="","","! From user CONSTRUCTIONS spreadhseet, Project Name:  "&amp;CONSTRUCTIONS!$D42&amp;". ")</f>
        <v/>
      </c>
    </row>
    <row r="280" spans="1:2">
      <c r="A280" s="412" t="str">
        <f>IF(CONSTRUCTIONS!$D42="","","    Cons "&amp;CONSTRUCTIONS!$B42&amp;",")</f>
        <v/>
      </c>
      <c r="B280" s="412" t="str">
        <f>IF(CONSTRUCTIONS!$D42="","",IF(CONSTRUCTIONS!$F42="","!   based user material selection.","!   based on template "&amp;CONSTRUCTIONS!$G42&amp;"."))</f>
        <v/>
      </c>
    </row>
    <row r="281" spans="1:2">
      <c r="A281" s="412" t="str">
        <f>IF(CONSTRUCTIONS!$D42="","",IF(CONSTRUCTIONS!$M42="","ERROR!",IF(VLOOKUP(CONSTRUCTIONS!$M42,Data!$D$3:$E$407,2,0)="","    "&amp;CONSTRUCTIONS!$M42,"    "&amp;VLOOKUP(CONSTRUCTIONS!$M42,Data!$D$3:$E$407,2,0)&amp;" "&amp;CONSTRUCTIONS!$M42)&amp;IF(CONSTRUCTIONS!$Q42="",";",",")))</f>
        <v/>
      </c>
      <c r="B281" s="412" t="str">
        <f>IF(CONSTRUCTIONS!$D42="","","! Layer 1")</f>
        <v/>
      </c>
    </row>
    <row r="282" spans="1:2">
      <c r="A282" s="412" t="str">
        <f>IF(CONSTRUCTIONS!$D42="","",IF(CONSTRUCTIONS!$Q42="","",IF(VLOOKUP(CONSTRUCTIONS!$Q42,Data!$D$3:$E$407,2,0)="","    "&amp;CONSTRUCTIONS!$Q42,"    "&amp;VLOOKUP(CONSTRUCTIONS!$Q42,Data!$D$3:$E$407,2,0)&amp;" "&amp;CONSTRUCTIONS!$Q42)&amp;IF(CONSTRUCTIONS!$U42="",";",",")))</f>
        <v/>
      </c>
      <c r="B282" s="412" t="str">
        <f>IF(CONSTRUCTIONS!$D42="","","! Layer 2")</f>
        <v/>
      </c>
    </row>
    <row r="283" spans="1:2">
      <c r="A283" s="412" t="str">
        <f>IF(CONSTRUCTIONS!$D42="","",IF(CONSTRUCTIONS!$U42="","",IF(VLOOKUP(CONSTRUCTIONS!$U42,Data!$D$3:$E$407,2,0)="","    "&amp;CONSTRUCTIONS!$U42,"    "&amp;VLOOKUP(CONSTRUCTIONS!$U42,Data!$D$3:$E$407,2,0)&amp;" "&amp;CONSTRUCTIONS!$U42)&amp;IF(CONSTRUCTIONS!$Y42="",";",",")))</f>
        <v/>
      </c>
      <c r="B283" s="412" t="str">
        <f>IF(CONSTRUCTIONS!$D42="","","! Layer 3")</f>
        <v/>
      </c>
    </row>
    <row r="284" spans="1:2">
      <c r="A284" s="412" t="str">
        <f>IF(CONSTRUCTIONS!$D42="","",IF(CONSTRUCTIONS!$Y42="","",IF(VLOOKUP(CONSTRUCTIONS!$Y42,Data!$D$3:$E$407,2,0)="","    "&amp;CONSTRUCTIONS!$Y42,"    "&amp;VLOOKUP(CONSTRUCTIONS!$Y42,Data!$D$3:$E$407,2,0)&amp;" "&amp;CONSTRUCTIONS!$Y42)&amp;IF(CONSTRUCTIONS!$AC42="",";",",")))</f>
        <v/>
      </c>
      <c r="B284" s="412" t="str">
        <f>IF(CONSTRUCTIONS!$D42="","","! Layer 4")</f>
        <v/>
      </c>
    </row>
    <row r="285" spans="1:2">
      <c r="A285" s="412" t="str">
        <f>IF(CONSTRUCTIONS!$D42="","",IF(CONSTRUCTIONS!$AC42="","",IF(VLOOKUP(CONSTRUCTIONS!$AC42,Data!$D$3:$E$407,2,0)="","    "&amp;CONSTRUCTIONS!$AC42,"    "&amp;VLOOKUP(CONSTRUCTIONS!$AC42,Data!$D$3:$E$407,2,0)&amp;" "&amp;CONSTRUCTIONS!$AC42)&amp;";"))</f>
        <v/>
      </c>
      <c r="B285" s="412" t="str">
        <f>IF(CONSTRUCTIONS!$D42="","","! Layer 5")</f>
        <v/>
      </c>
    </row>
    <row r="286" spans="1:2">
      <c r="A286" s="412"/>
      <c r="B286" s="412"/>
    </row>
    <row r="287" spans="1:2">
      <c r="A287" s="412" t="str">
        <f>IF(CONSTRUCTIONS!$D43="","","Construction,")</f>
        <v/>
      </c>
      <c r="B287" s="412" t="str">
        <f>IF(CONSTRUCTIONS!$D43="","","! From user CONSTRUCTIONS spreadhseet, Project Name:  "&amp;CONSTRUCTIONS!$D43&amp;". ")</f>
        <v/>
      </c>
    </row>
    <row r="288" spans="1:2">
      <c r="A288" s="412" t="str">
        <f>IF(CONSTRUCTIONS!$D43="","","    Cons "&amp;CONSTRUCTIONS!$B43&amp;",")</f>
        <v/>
      </c>
      <c r="B288" s="412" t="str">
        <f>IF(CONSTRUCTIONS!$D43="","",IF(CONSTRUCTIONS!$F43="","!   based user material selection.","!   based on template "&amp;CONSTRUCTIONS!$G43&amp;"."))</f>
        <v/>
      </c>
    </row>
    <row r="289" spans="1:2">
      <c r="A289" s="412" t="str">
        <f>IF(CONSTRUCTIONS!$D43="","",IF(CONSTRUCTIONS!$M43="","ERROR!",IF(VLOOKUP(CONSTRUCTIONS!$M43,Data!$D$3:$E$407,2,0)="","    "&amp;CONSTRUCTIONS!$M43,"    "&amp;VLOOKUP(CONSTRUCTIONS!$M43,Data!$D$3:$E$407,2,0)&amp;" "&amp;CONSTRUCTIONS!$M43)&amp;IF(CONSTRUCTIONS!$Q43="",";",",")))</f>
        <v/>
      </c>
      <c r="B289" s="412" t="str">
        <f>IF(CONSTRUCTIONS!$D43="","","! Layer 1")</f>
        <v/>
      </c>
    </row>
    <row r="290" spans="1:2">
      <c r="A290" s="412" t="str">
        <f>IF(CONSTRUCTIONS!$D43="","",IF(CONSTRUCTIONS!$Q43="","",IF(VLOOKUP(CONSTRUCTIONS!$Q43,Data!$D$3:$E$407,2,0)="","    "&amp;CONSTRUCTIONS!$Q43,"    "&amp;VLOOKUP(CONSTRUCTIONS!$Q43,Data!$D$3:$E$407,2,0)&amp;" "&amp;CONSTRUCTIONS!$Q43)&amp;IF(CONSTRUCTIONS!$U43="",";",",")))</f>
        <v/>
      </c>
      <c r="B290" s="412" t="str">
        <f>IF(CONSTRUCTIONS!$D43="","","! Layer 2")</f>
        <v/>
      </c>
    </row>
    <row r="291" spans="1:2">
      <c r="A291" s="412" t="str">
        <f>IF(CONSTRUCTIONS!$D43="","",IF(CONSTRUCTIONS!$U43="","",IF(VLOOKUP(CONSTRUCTIONS!$U43,Data!$D$3:$E$407,2,0)="","    "&amp;CONSTRUCTIONS!$U43,"    "&amp;VLOOKUP(CONSTRUCTIONS!$U43,Data!$D$3:$E$407,2,0)&amp;" "&amp;CONSTRUCTIONS!$U43)&amp;IF(CONSTRUCTIONS!$Y43="",";",",")))</f>
        <v/>
      </c>
      <c r="B291" s="412" t="str">
        <f>IF(CONSTRUCTIONS!$D43="","","! Layer 3")</f>
        <v/>
      </c>
    </row>
    <row r="292" spans="1:2">
      <c r="A292" s="412" t="str">
        <f>IF(CONSTRUCTIONS!$D43="","",IF(CONSTRUCTIONS!$Y43="","",IF(VLOOKUP(CONSTRUCTIONS!$Y43,Data!$D$3:$E$407,2,0)="","    "&amp;CONSTRUCTIONS!$Y43,"    "&amp;VLOOKUP(CONSTRUCTIONS!$Y43,Data!$D$3:$E$407,2,0)&amp;" "&amp;CONSTRUCTIONS!$Y43)&amp;IF(CONSTRUCTIONS!$AC43="",";",",")))</f>
        <v/>
      </c>
      <c r="B292" s="412" t="str">
        <f>IF(CONSTRUCTIONS!$D43="","","! Layer 4")</f>
        <v/>
      </c>
    </row>
    <row r="293" spans="1:2">
      <c r="A293" s="412" t="str">
        <f>IF(CONSTRUCTIONS!$D43="","",IF(CONSTRUCTIONS!$AC43="","",IF(VLOOKUP(CONSTRUCTIONS!$AC43,Data!$D$3:$E$407,2,0)="","    "&amp;CONSTRUCTIONS!$AC43,"    "&amp;VLOOKUP(CONSTRUCTIONS!$AC43,Data!$D$3:$E$407,2,0)&amp;" "&amp;CONSTRUCTIONS!$AC43)&amp;";"))</f>
        <v/>
      </c>
      <c r="B293" s="412" t="str">
        <f>IF(CONSTRUCTIONS!$D43="","","! Layer 5")</f>
        <v/>
      </c>
    </row>
    <row r="294" spans="1:2">
      <c r="A294" s="412"/>
      <c r="B294" s="412"/>
    </row>
    <row r="295" spans="1:2">
      <c r="A295" s="412" t="str">
        <f>IF(CONSTRUCTIONS!$D44="","","Construction,")</f>
        <v/>
      </c>
      <c r="B295" s="412" t="str">
        <f>IF(CONSTRUCTIONS!$D44="","","! From user CONSTRUCTIONS spreadhseet, Project Name:  "&amp;CONSTRUCTIONS!$D44&amp;". ")</f>
        <v/>
      </c>
    </row>
    <row r="296" spans="1:2">
      <c r="A296" s="412" t="str">
        <f>IF(CONSTRUCTIONS!$D44="","","    Cons "&amp;CONSTRUCTIONS!$B44&amp;",")</f>
        <v/>
      </c>
      <c r="B296" s="412" t="str">
        <f>IF(CONSTRUCTIONS!$D44="","",IF(CONSTRUCTIONS!$F44="","!   based user material selection.","!   based on template "&amp;CONSTRUCTIONS!$G44&amp;"."))</f>
        <v/>
      </c>
    </row>
    <row r="297" spans="1:2">
      <c r="A297" s="412" t="str">
        <f>IF(CONSTRUCTIONS!$D44="","",IF(CONSTRUCTIONS!$M44="","ERROR!",IF(VLOOKUP(CONSTRUCTIONS!$M44,Data!$D$3:$E$407,2,0)="","    "&amp;CONSTRUCTIONS!$M44,"    "&amp;VLOOKUP(CONSTRUCTIONS!$M44,Data!$D$3:$E$407,2,0)&amp;" "&amp;CONSTRUCTIONS!$M44)&amp;IF(CONSTRUCTIONS!$Q44="",";",",")))</f>
        <v/>
      </c>
      <c r="B297" s="412" t="str">
        <f>IF(CONSTRUCTIONS!$D44="","","! Layer 1")</f>
        <v/>
      </c>
    </row>
    <row r="298" spans="1:2">
      <c r="A298" s="412" t="str">
        <f>IF(CONSTRUCTIONS!$D44="","",IF(CONSTRUCTIONS!$Q44="","",IF(VLOOKUP(CONSTRUCTIONS!$Q44,Data!$D$3:$E$407,2,0)="","    "&amp;CONSTRUCTIONS!$Q44,"    "&amp;VLOOKUP(CONSTRUCTIONS!$Q44,Data!$D$3:$E$407,2,0)&amp;" "&amp;CONSTRUCTIONS!$Q44)&amp;IF(CONSTRUCTIONS!$U44="",";",",")))</f>
        <v/>
      </c>
      <c r="B298" s="412" t="str">
        <f>IF(CONSTRUCTIONS!$D44="","","! Layer 2")</f>
        <v/>
      </c>
    </row>
    <row r="299" spans="1:2">
      <c r="A299" s="412" t="str">
        <f>IF(CONSTRUCTIONS!$D44="","",IF(CONSTRUCTIONS!$U44="","",IF(VLOOKUP(CONSTRUCTIONS!$U44,Data!$D$3:$E$407,2,0)="","    "&amp;CONSTRUCTIONS!$U44,"    "&amp;VLOOKUP(CONSTRUCTIONS!$U44,Data!$D$3:$E$407,2,0)&amp;" "&amp;CONSTRUCTIONS!$U44)&amp;IF(CONSTRUCTIONS!$Y44="",";",",")))</f>
        <v/>
      </c>
      <c r="B299" s="412" t="str">
        <f>IF(CONSTRUCTIONS!$D44="","","! Layer 3")</f>
        <v/>
      </c>
    </row>
    <row r="300" spans="1:2">
      <c r="A300" s="412" t="str">
        <f>IF(CONSTRUCTIONS!$D44="","",IF(CONSTRUCTIONS!$Y44="","",IF(VLOOKUP(CONSTRUCTIONS!$Y44,Data!$D$3:$E$407,2,0)="","    "&amp;CONSTRUCTIONS!$Y44,"    "&amp;VLOOKUP(CONSTRUCTIONS!$Y44,Data!$D$3:$E$407,2,0)&amp;" "&amp;CONSTRUCTIONS!$Y44)&amp;IF(CONSTRUCTIONS!$AC44="",";",",")))</f>
        <v/>
      </c>
      <c r="B300" s="412" t="str">
        <f>IF(CONSTRUCTIONS!$D44="","","! Layer 4")</f>
        <v/>
      </c>
    </row>
    <row r="301" spans="1:2">
      <c r="A301" s="412" t="str">
        <f>IF(CONSTRUCTIONS!$D44="","",IF(CONSTRUCTIONS!$AC44="","",IF(VLOOKUP(CONSTRUCTIONS!$AC44,Data!$D$3:$E$407,2,0)="","    "&amp;CONSTRUCTIONS!$AC44,"    "&amp;VLOOKUP(CONSTRUCTIONS!$AC44,Data!$D$3:$E$407,2,0)&amp;" "&amp;CONSTRUCTIONS!$AC44)&amp;";"))</f>
        <v/>
      </c>
      <c r="B301" s="412" t="str">
        <f>IF(CONSTRUCTIONS!$D44="","","! Layer 5")</f>
        <v/>
      </c>
    </row>
    <row r="302" spans="1:2">
      <c r="A302" s="412"/>
      <c r="B302" s="412"/>
    </row>
    <row r="303" spans="1:2">
      <c r="A303" s="412" t="str">
        <f>IF(CONSTRUCTIONS!$D45="","","Construction,")</f>
        <v/>
      </c>
      <c r="B303" s="412" t="str">
        <f>IF(CONSTRUCTIONS!$D45="","","! From user CONSTRUCTIONS spreadhseet, Project Name:  "&amp;CONSTRUCTIONS!$D45&amp;". ")</f>
        <v/>
      </c>
    </row>
    <row r="304" spans="1:2">
      <c r="A304" s="412" t="str">
        <f>IF(CONSTRUCTIONS!$D45="","","    Cons "&amp;CONSTRUCTIONS!$B45&amp;",")</f>
        <v/>
      </c>
      <c r="B304" s="412" t="str">
        <f>IF(CONSTRUCTIONS!$D45="","",IF(CONSTRUCTIONS!$F45="","!   based user material selection.","!   based on template "&amp;CONSTRUCTIONS!$G45&amp;"."))</f>
        <v/>
      </c>
    </row>
    <row r="305" spans="1:2">
      <c r="A305" s="412" t="str">
        <f>IF(CONSTRUCTIONS!$D45="","",IF(CONSTRUCTIONS!$M45="","ERROR!",IF(VLOOKUP(CONSTRUCTIONS!$M45,Data!$D$3:$E$407,2,0)="","    "&amp;CONSTRUCTIONS!$M45,"    "&amp;VLOOKUP(CONSTRUCTIONS!$M45,Data!$D$3:$E$407,2,0)&amp;" "&amp;CONSTRUCTIONS!$M45)&amp;IF(CONSTRUCTIONS!$Q45="",";",",")))</f>
        <v/>
      </c>
      <c r="B305" s="412" t="str">
        <f>IF(CONSTRUCTIONS!$D45="","","! Layer 1")</f>
        <v/>
      </c>
    </row>
    <row r="306" spans="1:2">
      <c r="A306" s="412" t="str">
        <f>IF(CONSTRUCTIONS!$D45="","",IF(CONSTRUCTIONS!$Q45="","",IF(VLOOKUP(CONSTRUCTIONS!$Q45,Data!$D$3:$E$407,2,0)="","    "&amp;CONSTRUCTIONS!$Q45,"    "&amp;VLOOKUP(CONSTRUCTIONS!$Q45,Data!$D$3:$E$407,2,0)&amp;" "&amp;CONSTRUCTIONS!$Q45)&amp;IF(CONSTRUCTIONS!$U45="",";",",")))</f>
        <v/>
      </c>
      <c r="B306" s="412" t="str">
        <f>IF(CONSTRUCTIONS!$D45="","","! Layer 2")</f>
        <v/>
      </c>
    </row>
    <row r="307" spans="1:2">
      <c r="A307" s="412" t="str">
        <f>IF(CONSTRUCTIONS!$D45="","",IF(CONSTRUCTIONS!$U45="","",IF(VLOOKUP(CONSTRUCTIONS!$U45,Data!$D$3:$E$407,2,0)="","    "&amp;CONSTRUCTIONS!$U45,"    "&amp;VLOOKUP(CONSTRUCTIONS!$U45,Data!$D$3:$E$407,2,0)&amp;" "&amp;CONSTRUCTIONS!$U45)&amp;IF(CONSTRUCTIONS!$Y45="",";",",")))</f>
        <v/>
      </c>
      <c r="B307" s="412" t="str">
        <f>IF(CONSTRUCTIONS!$D45="","","! Layer 3")</f>
        <v/>
      </c>
    </row>
    <row r="308" spans="1:2">
      <c r="A308" s="412" t="str">
        <f>IF(CONSTRUCTIONS!$D45="","",IF(CONSTRUCTIONS!$Y45="","",IF(VLOOKUP(CONSTRUCTIONS!$Y45,Data!$D$3:$E$407,2,0)="","    "&amp;CONSTRUCTIONS!$Y45,"    "&amp;VLOOKUP(CONSTRUCTIONS!$Y45,Data!$D$3:$E$407,2,0)&amp;" "&amp;CONSTRUCTIONS!$Y45)&amp;IF(CONSTRUCTIONS!$AC45="",";",",")))</f>
        <v/>
      </c>
      <c r="B308" s="412" t="str">
        <f>IF(CONSTRUCTIONS!$D45="","","! Layer 4")</f>
        <v/>
      </c>
    </row>
    <row r="309" spans="1:2">
      <c r="A309" s="412" t="str">
        <f>IF(CONSTRUCTIONS!$D45="","",IF(CONSTRUCTIONS!$AC45="","",IF(VLOOKUP(CONSTRUCTIONS!$AC45,Data!$D$3:$E$407,2,0)="","    "&amp;CONSTRUCTIONS!$AC45,"    "&amp;VLOOKUP(CONSTRUCTIONS!$AC45,Data!$D$3:$E$407,2,0)&amp;" "&amp;CONSTRUCTIONS!$AC45)&amp;";"))</f>
        <v/>
      </c>
      <c r="B309" s="412" t="str">
        <f>IF(CONSTRUCTIONS!$D45="","","! Layer 5")</f>
        <v/>
      </c>
    </row>
    <row r="310" spans="1:2">
      <c r="A310" s="412"/>
      <c r="B310" s="412"/>
    </row>
    <row r="311" spans="1:2">
      <c r="A311" s="412" t="str">
        <f>IF(CONSTRUCTIONS!$D46="","","Construction,")</f>
        <v/>
      </c>
      <c r="B311" s="412" t="str">
        <f>IF(CONSTRUCTIONS!$D46="","","! From user CONSTRUCTIONS spreadhseet, Project Name:  "&amp;CONSTRUCTIONS!$D46&amp;". ")</f>
        <v/>
      </c>
    </row>
    <row r="312" spans="1:2">
      <c r="A312" s="412" t="str">
        <f>IF(CONSTRUCTIONS!$D46="","","    Cons "&amp;CONSTRUCTIONS!$B46&amp;",")</f>
        <v/>
      </c>
      <c r="B312" s="412" t="str">
        <f>IF(CONSTRUCTIONS!$D46="","",IF(CONSTRUCTIONS!$F46="","!   based user material selection.","!   based on template "&amp;CONSTRUCTIONS!$G46&amp;"."))</f>
        <v/>
      </c>
    </row>
    <row r="313" spans="1:2">
      <c r="A313" s="412" t="str">
        <f>IF(CONSTRUCTIONS!$D46="","",IF(CONSTRUCTIONS!$M46="","ERROR!",IF(VLOOKUP(CONSTRUCTIONS!$M46,Data!$D$3:$E$407,2,0)="","    "&amp;CONSTRUCTIONS!$M46,"    "&amp;VLOOKUP(CONSTRUCTIONS!$M46,Data!$D$3:$E$407,2,0)&amp;" "&amp;CONSTRUCTIONS!$M46)&amp;IF(CONSTRUCTIONS!$Q46="",";",",")))</f>
        <v/>
      </c>
      <c r="B313" s="412" t="str">
        <f>IF(CONSTRUCTIONS!$D46="","","! Layer 1")</f>
        <v/>
      </c>
    </row>
    <row r="314" spans="1:2">
      <c r="A314" s="412" t="str">
        <f>IF(CONSTRUCTIONS!$D46="","",IF(CONSTRUCTIONS!$Q46="","",IF(VLOOKUP(CONSTRUCTIONS!$Q46,Data!$D$3:$E$407,2,0)="","    "&amp;CONSTRUCTIONS!$Q46,"    "&amp;VLOOKUP(CONSTRUCTIONS!$Q46,Data!$D$3:$E$407,2,0)&amp;" "&amp;CONSTRUCTIONS!$Q46)&amp;IF(CONSTRUCTIONS!$U46="",";",",")))</f>
        <v/>
      </c>
      <c r="B314" s="412" t="str">
        <f>IF(CONSTRUCTIONS!$D46="","","! Layer 2")</f>
        <v/>
      </c>
    </row>
    <row r="315" spans="1:2">
      <c r="A315" s="412" t="str">
        <f>IF(CONSTRUCTIONS!$D46="","",IF(CONSTRUCTIONS!$U46="","",IF(VLOOKUP(CONSTRUCTIONS!$U46,Data!$D$3:$E$407,2,0)="","    "&amp;CONSTRUCTIONS!$U46,"    "&amp;VLOOKUP(CONSTRUCTIONS!$U46,Data!$D$3:$E$407,2,0)&amp;" "&amp;CONSTRUCTIONS!$U46)&amp;IF(CONSTRUCTIONS!$Y46="",";",",")))</f>
        <v/>
      </c>
      <c r="B315" s="412" t="str">
        <f>IF(CONSTRUCTIONS!$D46="","","! Layer 3")</f>
        <v/>
      </c>
    </row>
    <row r="316" spans="1:2">
      <c r="A316" s="412" t="str">
        <f>IF(CONSTRUCTIONS!$D46="","",IF(CONSTRUCTIONS!$Y46="","",IF(VLOOKUP(CONSTRUCTIONS!$Y46,Data!$D$3:$E$407,2,0)="","    "&amp;CONSTRUCTIONS!$Y46,"    "&amp;VLOOKUP(CONSTRUCTIONS!$Y46,Data!$D$3:$E$407,2,0)&amp;" "&amp;CONSTRUCTIONS!$Y46)&amp;IF(CONSTRUCTIONS!$AC46="",";",",")))</f>
        <v/>
      </c>
      <c r="B316" s="412" t="str">
        <f>IF(CONSTRUCTIONS!$D46="","","! Layer 4")</f>
        <v/>
      </c>
    </row>
    <row r="317" spans="1:2">
      <c r="A317" s="412" t="str">
        <f>IF(CONSTRUCTIONS!$D46="","",IF(CONSTRUCTIONS!$AC46="","",IF(VLOOKUP(CONSTRUCTIONS!$AC46,Data!$D$3:$E$407,2,0)="","    "&amp;CONSTRUCTIONS!$AC46,"    "&amp;VLOOKUP(CONSTRUCTIONS!$AC46,Data!$D$3:$E$407,2,0)&amp;" "&amp;CONSTRUCTIONS!$AC46)&amp;";"))</f>
        <v/>
      </c>
      <c r="B317" s="412" t="str">
        <f>IF(CONSTRUCTIONS!$D46="","","! Layer 5")</f>
        <v/>
      </c>
    </row>
    <row r="318" spans="1:2">
      <c r="A318" s="412"/>
      <c r="B318" s="412"/>
    </row>
    <row r="319" spans="1:2">
      <c r="A319" s="412" t="str">
        <f>IF(CONSTRUCTIONS!$D47="","","Construction,")</f>
        <v/>
      </c>
      <c r="B319" s="412" t="str">
        <f>IF(CONSTRUCTIONS!$D47="","","! From user CONSTRUCTIONS spreadhseet, Project Name:  "&amp;CONSTRUCTIONS!$D47&amp;". ")</f>
        <v/>
      </c>
    </row>
    <row r="320" spans="1:2">
      <c r="A320" s="412" t="str">
        <f>IF(CONSTRUCTIONS!$D47="","","    Cons "&amp;CONSTRUCTIONS!$B47&amp;",")</f>
        <v/>
      </c>
      <c r="B320" s="412" t="str">
        <f>IF(CONSTRUCTIONS!$D47="","",IF(CONSTRUCTIONS!$F47="","!   based user material selection.","!   based on template "&amp;CONSTRUCTIONS!$G47&amp;"."))</f>
        <v/>
      </c>
    </row>
    <row r="321" spans="1:2">
      <c r="A321" s="412" t="str">
        <f>IF(CONSTRUCTIONS!$D47="","",IF(CONSTRUCTIONS!$M47="","ERROR!",IF(VLOOKUP(CONSTRUCTIONS!$M47,Data!$D$3:$E$407,2,0)="","    "&amp;CONSTRUCTIONS!$M47,"    "&amp;VLOOKUP(CONSTRUCTIONS!$M47,Data!$D$3:$E$407,2,0)&amp;" "&amp;CONSTRUCTIONS!$M47)&amp;IF(CONSTRUCTIONS!$Q47="",";",",")))</f>
        <v/>
      </c>
      <c r="B321" s="412" t="str">
        <f>IF(CONSTRUCTIONS!$D47="","","! Layer 1")</f>
        <v/>
      </c>
    </row>
    <row r="322" spans="1:2">
      <c r="A322" s="412" t="str">
        <f>IF(CONSTRUCTIONS!$D47="","",IF(CONSTRUCTIONS!$Q47="","",IF(VLOOKUP(CONSTRUCTIONS!$Q47,Data!$D$3:$E$407,2,0)="","    "&amp;CONSTRUCTIONS!$Q47,"    "&amp;VLOOKUP(CONSTRUCTIONS!$Q47,Data!$D$3:$E$407,2,0)&amp;" "&amp;CONSTRUCTIONS!$Q47)&amp;IF(CONSTRUCTIONS!$U47="",";",",")))</f>
        <v/>
      </c>
      <c r="B322" s="412" t="str">
        <f>IF(CONSTRUCTIONS!$D47="","","! Layer 2")</f>
        <v/>
      </c>
    </row>
    <row r="323" spans="1:2">
      <c r="A323" s="412" t="str">
        <f>IF(CONSTRUCTIONS!$D47="","",IF(CONSTRUCTIONS!$U47="","",IF(VLOOKUP(CONSTRUCTIONS!$U47,Data!$D$3:$E$407,2,0)="","    "&amp;CONSTRUCTIONS!$U47,"    "&amp;VLOOKUP(CONSTRUCTIONS!$U47,Data!$D$3:$E$407,2,0)&amp;" "&amp;CONSTRUCTIONS!$U47)&amp;IF(CONSTRUCTIONS!$Y47="",";",",")))</f>
        <v/>
      </c>
      <c r="B323" s="412" t="str">
        <f>IF(CONSTRUCTIONS!$D47="","","! Layer 3")</f>
        <v/>
      </c>
    </row>
    <row r="324" spans="1:2">
      <c r="A324" s="412" t="str">
        <f>IF(CONSTRUCTIONS!$D47="","",IF(CONSTRUCTIONS!$Y47="","",IF(VLOOKUP(CONSTRUCTIONS!$Y47,Data!$D$3:$E$407,2,0)="","    "&amp;CONSTRUCTIONS!$Y47,"    "&amp;VLOOKUP(CONSTRUCTIONS!$Y47,Data!$D$3:$E$407,2,0)&amp;" "&amp;CONSTRUCTIONS!$Y47)&amp;IF(CONSTRUCTIONS!$AC47="",";",",")))</f>
        <v/>
      </c>
      <c r="B324" s="412" t="str">
        <f>IF(CONSTRUCTIONS!$D47="","","! Layer 4")</f>
        <v/>
      </c>
    </row>
    <row r="325" spans="1:2">
      <c r="A325" s="412" t="str">
        <f>IF(CONSTRUCTIONS!$D47="","",IF(CONSTRUCTIONS!$AC47="","",IF(VLOOKUP(CONSTRUCTIONS!$AC47,Data!$D$3:$E$407,2,0)="","    "&amp;CONSTRUCTIONS!$AC47,"    "&amp;VLOOKUP(CONSTRUCTIONS!$AC47,Data!$D$3:$E$407,2,0)&amp;" "&amp;CONSTRUCTIONS!$AC47)&amp;";"))</f>
        <v/>
      </c>
      <c r="B325" s="412" t="str">
        <f>IF(CONSTRUCTIONS!$D47="","","! Layer 5")</f>
        <v/>
      </c>
    </row>
    <row r="326" spans="1:2">
      <c r="A326" s="412"/>
      <c r="B326" s="412"/>
    </row>
    <row r="327" spans="1:2">
      <c r="A327" s="412" t="str">
        <f>IF(CONSTRUCTIONS!$D48="","","Construction,")</f>
        <v/>
      </c>
      <c r="B327" s="412" t="str">
        <f>IF(CONSTRUCTIONS!$D48="","","! From user CONSTRUCTIONS spreadhseet, Project Name:  "&amp;CONSTRUCTIONS!$D48&amp;". ")</f>
        <v/>
      </c>
    </row>
    <row r="328" spans="1:2">
      <c r="A328" s="412" t="str">
        <f>IF(CONSTRUCTIONS!$D48="","","    Cons "&amp;CONSTRUCTIONS!$B48&amp;",")</f>
        <v/>
      </c>
      <c r="B328" s="412" t="str">
        <f>IF(CONSTRUCTIONS!$D48="","",IF(CONSTRUCTIONS!$F48="","!   based user material selection.","!   based on template "&amp;CONSTRUCTIONS!$G48&amp;"."))</f>
        <v/>
      </c>
    </row>
    <row r="329" spans="1:2">
      <c r="A329" s="412" t="str">
        <f>IF(CONSTRUCTIONS!$D48="","",IF(CONSTRUCTIONS!$M48="","ERROR!",IF(VLOOKUP(CONSTRUCTIONS!$M48,Data!$D$3:$E$407,2,0)="","    "&amp;CONSTRUCTIONS!$M48,"    "&amp;VLOOKUP(CONSTRUCTIONS!$M48,Data!$D$3:$E$407,2,0)&amp;" "&amp;CONSTRUCTIONS!$M48)&amp;IF(CONSTRUCTIONS!$Q48="",";",",")))</f>
        <v/>
      </c>
      <c r="B329" s="412" t="str">
        <f>IF(CONSTRUCTIONS!$D48="","","! Layer 1")</f>
        <v/>
      </c>
    </row>
    <row r="330" spans="1:2">
      <c r="A330" s="412" t="str">
        <f>IF(CONSTRUCTIONS!$D48="","",IF(CONSTRUCTIONS!$Q48="","",IF(VLOOKUP(CONSTRUCTIONS!$Q48,Data!$D$3:$E$407,2,0)="","    "&amp;CONSTRUCTIONS!$Q48,"    "&amp;VLOOKUP(CONSTRUCTIONS!$Q48,Data!$D$3:$E$407,2,0)&amp;" "&amp;CONSTRUCTIONS!$Q48)&amp;IF(CONSTRUCTIONS!$U48="",";",",")))</f>
        <v/>
      </c>
      <c r="B330" s="412" t="str">
        <f>IF(CONSTRUCTIONS!$D48="","","! Layer 2")</f>
        <v/>
      </c>
    </row>
    <row r="331" spans="1:2">
      <c r="A331" s="412" t="str">
        <f>IF(CONSTRUCTIONS!$D48="","",IF(CONSTRUCTIONS!$U48="","",IF(VLOOKUP(CONSTRUCTIONS!$U48,Data!$D$3:$E$407,2,0)="","    "&amp;CONSTRUCTIONS!$U48,"    "&amp;VLOOKUP(CONSTRUCTIONS!$U48,Data!$D$3:$E$407,2,0)&amp;" "&amp;CONSTRUCTIONS!$U48)&amp;IF(CONSTRUCTIONS!$Y48="",";",",")))</f>
        <v/>
      </c>
      <c r="B331" s="412" t="str">
        <f>IF(CONSTRUCTIONS!$D48="","","! Layer 3")</f>
        <v/>
      </c>
    </row>
    <row r="332" spans="1:2">
      <c r="A332" s="412" t="str">
        <f>IF(CONSTRUCTIONS!$D48="","",IF(CONSTRUCTIONS!$Y48="","",IF(VLOOKUP(CONSTRUCTIONS!$Y48,Data!$D$3:$E$407,2,0)="","    "&amp;CONSTRUCTIONS!$Y48,"    "&amp;VLOOKUP(CONSTRUCTIONS!$Y48,Data!$D$3:$E$407,2,0)&amp;" "&amp;CONSTRUCTIONS!$Y48)&amp;IF(CONSTRUCTIONS!$AC48="",";",",")))</f>
        <v/>
      </c>
      <c r="B332" s="412" t="str">
        <f>IF(CONSTRUCTIONS!$D48="","","! Layer 4")</f>
        <v/>
      </c>
    </row>
    <row r="333" spans="1:2">
      <c r="A333" s="412" t="str">
        <f>IF(CONSTRUCTIONS!$D48="","",IF(CONSTRUCTIONS!$AC48="","",IF(VLOOKUP(CONSTRUCTIONS!$AC48,Data!$D$3:$E$407,2,0)="","    "&amp;CONSTRUCTIONS!$AC48,"    "&amp;VLOOKUP(CONSTRUCTIONS!$AC48,Data!$D$3:$E$407,2,0)&amp;" "&amp;CONSTRUCTIONS!$AC48)&amp;";"))</f>
        <v/>
      </c>
      <c r="B333" s="412" t="str">
        <f>IF(CONSTRUCTIONS!$D48="","","! Layer 5")</f>
        <v/>
      </c>
    </row>
    <row r="334" spans="1:2">
      <c r="A334" s="412"/>
      <c r="B334" s="412"/>
    </row>
    <row r="335" spans="1:2">
      <c r="A335" s="412" t="str">
        <f>IF(CONSTRUCTIONS!$D49="","","Construction,")</f>
        <v/>
      </c>
      <c r="B335" s="412" t="str">
        <f>IF(CONSTRUCTIONS!$D49="","","! From user CONSTRUCTIONS spreadhseet, Project Name:  "&amp;CONSTRUCTIONS!$D49&amp;". ")</f>
        <v/>
      </c>
    </row>
    <row r="336" spans="1:2">
      <c r="A336" s="412" t="str">
        <f>IF(CONSTRUCTIONS!$D49="","","    Cons "&amp;CONSTRUCTIONS!$B49&amp;",")</f>
        <v/>
      </c>
      <c r="B336" s="412" t="str">
        <f>IF(CONSTRUCTIONS!$D49="","",IF(CONSTRUCTIONS!$F49="","!   based user material selection.","!   based on template "&amp;CONSTRUCTIONS!$G49&amp;"."))</f>
        <v/>
      </c>
    </row>
    <row r="337" spans="1:2">
      <c r="A337" s="412" t="str">
        <f>IF(CONSTRUCTIONS!$D49="","",IF(CONSTRUCTIONS!$M49="","ERROR!",IF(VLOOKUP(CONSTRUCTIONS!$M49,Data!$D$3:$E$407,2,0)="","    "&amp;CONSTRUCTIONS!$M49,"    "&amp;VLOOKUP(CONSTRUCTIONS!$M49,Data!$D$3:$E$407,2,0)&amp;" "&amp;CONSTRUCTIONS!$M49)&amp;IF(CONSTRUCTIONS!$Q49="",";",",")))</f>
        <v/>
      </c>
      <c r="B337" s="412" t="str">
        <f>IF(CONSTRUCTIONS!$D49="","","! Layer 1")</f>
        <v/>
      </c>
    </row>
    <row r="338" spans="1:2">
      <c r="A338" s="412" t="str">
        <f>IF(CONSTRUCTIONS!$D49="","",IF(CONSTRUCTIONS!$Q49="","",IF(VLOOKUP(CONSTRUCTIONS!$Q49,Data!$D$3:$E$407,2,0)="","    "&amp;CONSTRUCTIONS!$Q49,"    "&amp;VLOOKUP(CONSTRUCTIONS!$Q49,Data!$D$3:$E$407,2,0)&amp;" "&amp;CONSTRUCTIONS!$Q49)&amp;IF(CONSTRUCTIONS!$U49="",";",",")))</f>
        <v/>
      </c>
      <c r="B338" s="412" t="str">
        <f>IF(CONSTRUCTIONS!$D49="","","! Layer 2")</f>
        <v/>
      </c>
    </row>
    <row r="339" spans="1:2">
      <c r="A339" s="412" t="str">
        <f>IF(CONSTRUCTIONS!$D49="","",IF(CONSTRUCTIONS!$U49="","",IF(VLOOKUP(CONSTRUCTIONS!$U49,Data!$D$3:$E$407,2,0)="","    "&amp;CONSTRUCTIONS!$U49,"    "&amp;VLOOKUP(CONSTRUCTIONS!$U49,Data!$D$3:$E$407,2,0)&amp;" "&amp;CONSTRUCTIONS!$U49)&amp;IF(CONSTRUCTIONS!$Y49="",";",",")))</f>
        <v/>
      </c>
      <c r="B339" s="412" t="str">
        <f>IF(CONSTRUCTIONS!$D49="","","! Layer 3")</f>
        <v/>
      </c>
    </row>
    <row r="340" spans="1:2">
      <c r="A340" s="412" t="str">
        <f>IF(CONSTRUCTIONS!$D49="","",IF(CONSTRUCTIONS!$Y49="","",IF(VLOOKUP(CONSTRUCTIONS!$Y49,Data!$D$3:$E$407,2,0)="","    "&amp;CONSTRUCTIONS!$Y49,"    "&amp;VLOOKUP(CONSTRUCTIONS!$Y49,Data!$D$3:$E$407,2,0)&amp;" "&amp;CONSTRUCTIONS!$Y49)&amp;IF(CONSTRUCTIONS!$AC49="",";",",")))</f>
        <v/>
      </c>
      <c r="B340" s="412" t="str">
        <f>IF(CONSTRUCTIONS!$D49="","","! Layer 4")</f>
        <v/>
      </c>
    </row>
    <row r="341" spans="1:2">
      <c r="A341" s="412" t="str">
        <f>IF(CONSTRUCTIONS!$D49="","",IF(CONSTRUCTIONS!$AC49="","",IF(VLOOKUP(CONSTRUCTIONS!$AC49,Data!$D$3:$E$407,2,0)="","    "&amp;CONSTRUCTIONS!$AC49,"    "&amp;VLOOKUP(CONSTRUCTIONS!$AC49,Data!$D$3:$E$407,2,0)&amp;" "&amp;CONSTRUCTIONS!$AC49)&amp;";"))</f>
        <v/>
      </c>
      <c r="B341" s="412" t="str">
        <f>IF(CONSTRUCTIONS!$D49="","","! Layer 5")</f>
        <v/>
      </c>
    </row>
    <row r="342" spans="1:2">
      <c r="A342" s="412"/>
      <c r="B342" s="412"/>
    </row>
    <row r="343" spans="1:2">
      <c r="A343" s="412" t="str">
        <f>IF(CONSTRUCTIONS!$D50="","","Construction,")</f>
        <v/>
      </c>
      <c r="B343" s="412" t="str">
        <f>IF(CONSTRUCTIONS!$D50="","","! From user CONSTRUCTIONS spreadhseet, Project Name:  "&amp;CONSTRUCTIONS!$D50&amp;". ")</f>
        <v/>
      </c>
    </row>
    <row r="344" spans="1:2">
      <c r="A344" s="412" t="str">
        <f>IF(CONSTRUCTIONS!$D50="","","    Cons "&amp;CONSTRUCTIONS!$B50&amp;",")</f>
        <v/>
      </c>
      <c r="B344" s="412" t="str">
        <f>IF(CONSTRUCTIONS!$D50="","",IF(CONSTRUCTIONS!$F50="","!   based user material selection.","!   based on template "&amp;CONSTRUCTIONS!$G50&amp;"."))</f>
        <v/>
      </c>
    </row>
    <row r="345" spans="1:2">
      <c r="A345" s="412" t="str">
        <f>IF(CONSTRUCTIONS!$D50="","",IF(CONSTRUCTIONS!$M50="","ERROR!",IF(VLOOKUP(CONSTRUCTIONS!$M50,Data!$D$3:$E$407,2,0)="","    "&amp;CONSTRUCTIONS!$M50,"    "&amp;VLOOKUP(CONSTRUCTIONS!$M50,Data!$D$3:$E$407,2,0)&amp;" "&amp;CONSTRUCTIONS!$M50)&amp;IF(CONSTRUCTIONS!$Q50="",";",",")))</f>
        <v/>
      </c>
      <c r="B345" s="412" t="str">
        <f>IF(CONSTRUCTIONS!$D50="","","! Layer 1")</f>
        <v/>
      </c>
    </row>
    <row r="346" spans="1:2">
      <c r="A346" s="412" t="str">
        <f>IF(CONSTRUCTIONS!$D50="","",IF(CONSTRUCTIONS!$Q50="","",IF(VLOOKUP(CONSTRUCTIONS!$Q50,Data!$D$3:$E$407,2,0)="","    "&amp;CONSTRUCTIONS!$Q50,"    "&amp;VLOOKUP(CONSTRUCTIONS!$Q50,Data!$D$3:$E$407,2,0)&amp;" "&amp;CONSTRUCTIONS!$Q50)&amp;IF(CONSTRUCTIONS!$U50="",";",",")))</f>
        <v/>
      </c>
      <c r="B346" s="412" t="str">
        <f>IF(CONSTRUCTIONS!$D50="","","! Layer 2")</f>
        <v/>
      </c>
    </row>
    <row r="347" spans="1:2">
      <c r="A347" s="412" t="str">
        <f>IF(CONSTRUCTIONS!$D50="","",IF(CONSTRUCTIONS!$U50="","",IF(VLOOKUP(CONSTRUCTIONS!$U50,Data!$D$3:$E$407,2,0)="","    "&amp;CONSTRUCTIONS!$U50,"    "&amp;VLOOKUP(CONSTRUCTIONS!$U50,Data!$D$3:$E$407,2,0)&amp;" "&amp;CONSTRUCTIONS!$U50)&amp;IF(CONSTRUCTIONS!$Y50="",";",",")))</f>
        <v/>
      </c>
      <c r="B347" s="412" t="str">
        <f>IF(CONSTRUCTIONS!$D50="","","! Layer 3")</f>
        <v/>
      </c>
    </row>
    <row r="348" spans="1:2">
      <c r="A348" s="412" t="str">
        <f>IF(CONSTRUCTIONS!$D50="","",IF(CONSTRUCTIONS!$Y50="","",IF(VLOOKUP(CONSTRUCTIONS!$Y50,Data!$D$3:$E$407,2,0)="","    "&amp;CONSTRUCTIONS!$Y50,"    "&amp;VLOOKUP(CONSTRUCTIONS!$Y50,Data!$D$3:$E$407,2,0)&amp;" "&amp;CONSTRUCTIONS!$Y50)&amp;IF(CONSTRUCTIONS!$AC50="",";",",")))</f>
        <v/>
      </c>
      <c r="B348" s="412" t="str">
        <f>IF(CONSTRUCTIONS!$D50="","","! Layer 4")</f>
        <v/>
      </c>
    </row>
    <row r="349" spans="1:2">
      <c r="A349" s="412" t="str">
        <f>IF(CONSTRUCTIONS!$D50="","",IF(CONSTRUCTIONS!$AC50="","",IF(VLOOKUP(CONSTRUCTIONS!$AC50,Data!$D$3:$E$407,2,0)="","    "&amp;CONSTRUCTIONS!$AC50,"    "&amp;VLOOKUP(CONSTRUCTIONS!$AC50,Data!$D$3:$E$407,2,0)&amp;" "&amp;CONSTRUCTIONS!$AC50)&amp;";"))</f>
        <v/>
      </c>
      <c r="B349" s="412" t="str">
        <f>IF(CONSTRUCTIONS!$D50="","","! Layer 5")</f>
        <v/>
      </c>
    </row>
    <row r="350" spans="1:2">
      <c r="A350" s="412"/>
      <c r="B350" s="412"/>
    </row>
    <row r="351" spans="1:2">
      <c r="A351" s="412" t="str">
        <f>IF(CONSTRUCTIONS!$D51="","","Construction,")</f>
        <v/>
      </c>
      <c r="B351" s="412" t="str">
        <f>IF(CONSTRUCTIONS!$D51="","","! From user CONSTRUCTIONS spreadhseet, Project Name:  "&amp;CONSTRUCTIONS!$D51&amp;". ")</f>
        <v/>
      </c>
    </row>
    <row r="352" spans="1:2">
      <c r="A352" s="412" t="str">
        <f>IF(CONSTRUCTIONS!$D51="","","    Cons "&amp;CONSTRUCTIONS!$B51&amp;",")</f>
        <v/>
      </c>
      <c r="B352" s="412" t="str">
        <f>IF(CONSTRUCTIONS!$D51="","",IF(CONSTRUCTIONS!$F51="","!   based user material selection.","!   based on template "&amp;CONSTRUCTIONS!$G51&amp;"."))</f>
        <v/>
      </c>
    </row>
    <row r="353" spans="1:2">
      <c r="A353" s="412" t="str">
        <f>IF(CONSTRUCTIONS!$D51="","",IF(CONSTRUCTIONS!$M51="","ERROR!",IF(VLOOKUP(CONSTRUCTIONS!$M51,Data!$D$3:$E$407,2,0)="","    "&amp;CONSTRUCTIONS!$M51,"    "&amp;VLOOKUP(CONSTRUCTIONS!$M51,Data!$D$3:$E$407,2,0)&amp;" "&amp;CONSTRUCTIONS!$M51)&amp;IF(CONSTRUCTIONS!$Q51="",";",",")))</f>
        <v/>
      </c>
      <c r="B353" s="412" t="str">
        <f>IF(CONSTRUCTIONS!$D51="","","! Layer 1")</f>
        <v/>
      </c>
    </row>
    <row r="354" spans="1:2">
      <c r="A354" s="412" t="str">
        <f>IF(CONSTRUCTIONS!$D51="","",IF(CONSTRUCTIONS!$Q51="","",IF(VLOOKUP(CONSTRUCTIONS!$Q51,Data!$D$3:$E$407,2,0)="","    "&amp;CONSTRUCTIONS!$Q51,"    "&amp;VLOOKUP(CONSTRUCTIONS!$Q51,Data!$D$3:$E$407,2,0)&amp;" "&amp;CONSTRUCTIONS!$Q51)&amp;IF(CONSTRUCTIONS!$U51="",";",",")))</f>
        <v/>
      </c>
      <c r="B354" s="412" t="str">
        <f>IF(CONSTRUCTIONS!$D51="","","! Layer 2")</f>
        <v/>
      </c>
    </row>
    <row r="355" spans="1:2">
      <c r="A355" s="412" t="str">
        <f>IF(CONSTRUCTIONS!$D51="","",IF(CONSTRUCTIONS!$U51="","",IF(VLOOKUP(CONSTRUCTIONS!$U51,Data!$D$3:$E$407,2,0)="","    "&amp;CONSTRUCTIONS!$U51,"    "&amp;VLOOKUP(CONSTRUCTIONS!$U51,Data!$D$3:$E$407,2,0)&amp;" "&amp;CONSTRUCTIONS!$U51)&amp;IF(CONSTRUCTIONS!$Y51="",";",",")))</f>
        <v/>
      </c>
      <c r="B355" s="412" t="str">
        <f>IF(CONSTRUCTIONS!$D51="","","! Layer 3")</f>
        <v/>
      </c>
    </row>
    <row r="356" spans="1:2">
      <c r="A356" s="412" t="str">
        <f>IF(CONSTRUCTIONS!$D51="","",IF(CONSTRUCTIONS!$Y51="","",IF(VLOOKUP(CONSTRUCTIONS!$Y51,Data!$D$3:$E$407,2,0)="","    "&amp;CONSTRUCTIONS!$Y51,"    "&amp;VLOOKUP(CONSTRUCTIONS!$Y51,Data!$D$3:$E$407,2,0)&amp;" "&amp;CONSTRUCTIONS!$Y51)&amp;IF(CONSTRUCTIONS!$AC51="",";",",")))</f>
        <v/>
      </c>
      <c r="B356" s="412" t="str">
        <f>IF(CONSTRUCTIONS!$D51="","","! Layer 4")</f>
        <v/>
      </c>
    </row>
    <row r="357" spans="1:2">
      <c r="A357" s="412" t="str">
        <f>IF(CONSTRUCTIONS!$D51="","",IF(CONSTRUCTIONS!$AC51="","",IF(VLOOKUP(CONSTRUCTIONS!$AC51,Data!$D$3:$E$407,2,0)="","    "&amp;CONSTRUCTIONS!$AC51,"    "&amp;VLOOKUP(CONSTRUCTIONS!$AC51,Data!$D$3:$E$407,2,0)&amp;" "&amp;CONSTRUCTIONS!$AC51)&amp;";"))</f>
        <v/>
      </c>
      <c r="B357" s="412" t="str">
        <f>IF(CONSTRUCTIONS!$D51="","","! Layer 5")</f>
        <v/>
      </c>
    </row>
    <row r="358" spans="1:2">
      <c r="A358" s="412"/>
      <c r="B358" s="412"/>
    </row>
    <row r="359" spans="1:2">
      <c r="A359" s="412" t="str">
        <f>IF(CONSTRUCTIONS!$D52="","","Construction,")</f>
        <v/>
      </c>
      <c r="B359" s="412" t="str">
        <f>IF(CONSTRUCTIONS!$D52="","","! From user CONSTRUCTIONS spreadhseet, Project Name:  "&amp;CONSTRUCTIONS!$D52&amp;". ")</f>
        <v/>
      </c>
    </row>
    <row r="360" spans="1:2">
      <c r="A360" s="412" t="str">
        <f>IF(CONSTRUCTIONS!$D52="","","    Cons "&amp;CONSTRUCTIONS!$B52&amp;",")</f>
        <v/>
      </c>
      <c r="B360" s="412" t="str">
        <f>IF(CONSTRUCTIONS!$D52="","",IF(CONSTRUCTIONS!$F52="","!   based user material selection.","!   based on template "&amp;CONSTRUCTIONS!$G52&amp;"."))</f>
        <v/>
      </c>
    </row>
    <row r="361" spans="1:2">
      <c r="A361" s="412" t="str">
        <f>IF(CONSTRUCTIONS!$D52="","",IF(CONSTRUCTIONS!$M52="","ERROR!",IF(VLOOKUP(CONSTRUCTIONS!$M52,Data!$D$3:$E$407,2,0)="","    "&amp;CONSTRUCTIONS!$M52,"    "&amp;VLOOKUP(CONSTRUCTIONS!$M52,Data!$D$3:$E$407,2,0)&amp;" "&amp;CONSTRUCTIONS!$M52)&amp;IF(CONSTRUCTIONS!$Q52="",";",",")))</f>
        <v/>
      </c>
      <c r="B361" s="412" t="str">
        <f>IF(CONSTRUCTIONS!$D52="","","! Layer 1")</f>
        <v/>
      </c>
    </row>
    <row r="362" spans="1:2">
      <c r="A362" s="412" t="str">
        <f>IF(CONSTRUCTIONS!$D52="","",IF(CONSTRUCTIONS!$Q52="","",IF(VLOOKUP(CONSTRUCTIONS!$Q52,Data!$D$3:$E$407,2,0)="","    "&amp;CONSTRUCTIONS!$Q52,"    "&amp;VLOOKUP(CONSTRUCTIONS!$Q52,Data!$D$3:$E$407,2,0)&amp;" "&amp;CONSTRUCTIONS!$Q52)&amp;IF(CONSTRUCTIONS!$U52="",";",",")))</f>
        <v/>
      </c>
      <c r="B362" s="412" t="str">
        <f>IF(CONSTRUCTIONS!$D52="","","! Layer 2")</f>
        <v/>
      </c>
    </row>
    <row r="363" spans="1:2">
      <c r="A363" s="412" t="str">
        <f>IF(CONSTRUCTIONS!$D52="","",IF(CONSTRUCTIONS!$U52="","",IF(VLOOKUP(CONSTRUCTIONS!$U52,Data!$D$3:$E$407,2,0)="","    "&amp;CONSTRUCTIONS!$U52,"    "&amp;VLOOKUP(CONSTRUCTIONS!$U52,Data!$D$3:$E$407,2,0)&amp;" "&amp;CONSTRUCTIONS!$U52)&amp;IF(CONSTRUCTIONS!$Y52="",";",",")))</f>
        <v/>
      </c>
      <c r="B363" s="412" t="str">
        <f>IF(CONSTRUCTIONS!$D52="","","! Layer 3")</f>
        <v/>
      </c>
    </row>
    <row r="364" spans="1:2">
      <c r="A364" s="412" t="str">
        <f>IF(CONSTRUCTIONS!$D52="","",IF(CONSTRUCTIONS!$Y52="","",IF(VLOOKUP(CONSTRUCTIONS!$Y52,Data!$D$3:$E$407,2,0)="","    "&amp;CONSTRUCTIONS!$Y52,"    "&amp;VLOOKUP(CONSTRUCTIONS!$Y52,Data!$D$3:$E$407,2,0)&amp;" "&amp;CONSTRUCTIONS!$Y52)&amp;IF(CONSTRUCTIONS!$AC52="",";",",")))</f>
        <v/>
      </c>
      <c r="B364" s="412" t="str">
        <f>IF(CONSTRUCTIONS!$D52="","","! Layer 4")</f>
        <v/>
      </c>
    </row>
    <row r="365" spans="1:2">
      <c r="A365" s="412" t="str">
        <f>IF(CONSTRUCTIONS!$D52="","",IF(CONSTRUCTIONS!$AC52="","",IF(VLOOKUP(CONSTRUCTIONS!$AC52,Data!$D$3:$E$407,2,0)="","    "&amp;CONSTRUCTIONS!$AC52,"    "&amp;VLOOKUP(CONSTRUCTIONS!$AC52,Data!$D$3:$E$407,2,0)&amp;" "&amp;CONSTRUCTIONS!$AC52)&amp;";"))</f>
        <v/>
      </c>
      <c r="B365" s="412" t="str">
        <f>IF(CONSTRUCTIONS!$D52="","","! Layer 5")</f>
        <v/>
      </c>
    </row>
    <row r="366" spans="1:2">
      <c r="A366" s="412"/>
      <c r="B366" s="412"/>
    </row>
    <row r="367" spans="1:2">
      <c r="A367" s="412" t="str">
        <f>IF(CONSTRUCTIONS!$D53="","","Construction,")</f>
        <v/>
      </c>
      <c r="B367" s="412" t="str">
        <f>IF(CONSTRUCTIONS!$D53="","","! From user CONSTRUCTIONS spreadhseet, Project Name:  "&amp;CONSTRUCTIONS!$D53&amp;". ")</f>
        <v/>
      </c>
    </row>
    <row r="368" spans="1:2">
      <c r="A368" s="412" t="str">
        <f>IF(CONSTRUCTIONS!$D53="","","    Cons "&amp;CONSTRUCTIONS!$B53&amp;",")</f>
        <v/>
      </c>
      <c r="B368" s="412" t="str">
        <f>IF(CONSTRUCTIONS!$D53="","",IF(CONSTRUCTIONS!$F53="","!   based user material selection.","!   based on template "&amp;CONSTRUCTIONS!$G53&amp;"."))</f>
        <v/>
      </c>
    </row>
    <row r="369" spans="1:2">
      <c r="A369" s="412" t="str">
        <f>IF(CONSTRUCTIONS!$D53="","",IF(CONSTRUCTIONS!$M53="","ERROR!",IF(VLOOKUP(CONSTRUCTIONS!$M53,Data!$D$3:$E$407,2,0)="","    "&amp;CONSTRUCTIONS!$M53,"    "&amp;VLOOKUP(CONSTRUCTIONS!$M53,Data!$D$3:$E$407,2,0)&amp;" "&amp;CONSTRUCTIONS!$M53)&amp;IF(CONSTRUCTIONS!$Q53="",";",",")))</f>
        <v/>
      </c>
      <c r="B369" s="412" t="str">
        <f>IF(CONSTRUCTIONS!$D53="","","! Layer 1")</f>
        <v/>
      </c>
    </row>
    <row r="370" spans="1:2">
      <c r="A370" s="412" t="str">
        <f>IF(CONSTRUCTIONS!$D53="","",IF(CONSTRUCTIONS!$Q53="","",IF(VLOOKUP(CONSTRUCTIONS!$Q53,Data!$D$3:$E$407,2,0)="","    "&amp;CONSTRUCTIONS!$Q53,"    "&amp;VLOOKUP(CONSTRUCTIONS!$Q53,Data!$D$3:$E$407,2,0)&amp;" "&amp;CONSTRUCTIONS!$Q53)&amp;IF(CONSTRUCTIONS!$U53="",";",",")))</f>
        <v/>
      </c>
      <c r="B370" s="412" t="str">
        <f>IF(CONSTRUCTIONS!$D53="","","! Layer 2")</f>
        <v/>
      </c>
    </row>
    <row r="371" spans="1:2">
      <c r="A371" s="412" t="str">
        <f>IF(CONSTRUCTIONS!$D53="","",IF(CONSTRUCTIONS!$U53="","",IF(VLOOKUP(CONSTRUCTIONS!$U53,Data!$D$3:$E$407,2,0)="","    "&amp;CONSTRUCTIONS!$U53,"    "&amp;VLOOKUP(CONSTRUCTIONS!$U53,Data!$D$3:$E$407,2,0)&amp;" "&amp;CONSTRUCTIONS!$U53)&amp;IF(CONSTRUCTIONS!$Y53="",";",",")))</f>
        <v/>
      </c>
      <c r="B371" s="412" t="str">
        <f>IF(CONSTRUCTIONS!$D53="","","! Layer 3")</f>
        <v/>
      </c>
    </row>
    <row r="372" spans="1:2">
      <c r="A372" s="412" t="str">
        <f>IF(CONSTRUCTIONS!$D53="","",IF(CONSTRUCTIONS!$Y53="","",IF(VLOOKUP(CONSTRUCTIONS!$Y53,Data!$D$3:$E$407,2,0)="","    "&amp;CONSTRUCTIONS!$Y53,"    "&amp;VLOOKUP(CONSTRUCTIONS!$Y53,Data!$D$3:$E$407,2,0)&amp;" "&amp;CONSTRUCTIONS!$Y53)&amp;IF(CONSTRUCTIONS!$AC53="",";",",")))</f>
        <v/>
      </c>
      <c r="B372" s="412" t="str">
        <f>IF(CONSTRUCTIONS!$D53="","","! Layer 4")</f>
        <v/>
      </c>
    </row>
    <row r="373" spans="1:2">
      <c r="A373" s="412" t="str">
        <f>IF(CONSTRUCTIONS!$D53="","",IF(CONSTRUCTIONS!$AC53="","",IF(VLOOKUP(CONSTRUCTIONS!$AC53,Data!$D$3:$E$407,2,0)="","    "&amp;CONSTRUCTIONS!$AC53,"    "&amp;VLOOKUP(CONSTRUCTIONS!$AC53,Data!$D$3:$E$407,2,0)&amp;" "&amp;CONSTRUCTIONS!$AC53)&amp;";"))</f>
        <v/>
      </c>
      <c r="B373" s="412" t="str">
        <f>IF(CONSTRUCTIONS!$D53="","","! Layer 5")</f>
        <v/>
      </c>
    </row>
    <row r="374" spans="1:2">
      <c r="A374" s="412"/>
      <c r="B374" s="412"/>
    </row>
    <row r="375" spans="1:2">
      <c r="A375" s="412" t="str">
        <f>IF(CONSTRUCTIONS!$D54="","","Construction,")</f>
        <v/>
      </c>
      <c r="B375" s="412" t="str">
        <f>IF(CONSTRUCTIONS!$D54="","","! From user CONSTRUCTIONS spreadhseet, Project Name:  "&amp;CONSTRUCTIONS!$D54&amp;". ")</f>
        <v/>
      </c>
    </row>
    <row r="376" spans="1:2">
      <c r="A376" s="412" t="str">
        <f>IF(CONSTRUCTIONS!$D54="","","    Cons "&amp;CONSTRUCTIONS!$B54&amp;",")</f>
        <v/>
      </c>
      <c r="B376" s="412" t="str">
        <f>IF(CONSTRUCTIONS!$D54="","",IF(CONSTRUCTIONS!$F54="","!   based user material selection.","!   based on template "&amp;CONSTRUCTIONS!$G54&amp;"."))</f>
        <v/>
      </c>
    </row>
    <row r="377" spans="1:2">
      <c r="A377" s="412" t="str">
        <f>IF(CONSTRUCTIONS!$D54="","",IF(CONSTRUCTIONS!$M54="","ERROR!",IF(VLOOKUP(CONSTRUCTIONS!$M54,Data!$D$3:$E$407,2,0)="","    "&amp;CONSTRUCTIONS!$M54,"    "&amp;VLOOKUP(CONSTRUCTIONS!$M54,Data!$D$3:$E$407,2,0)&amp;" "&amp;CONSTRUCTIONS!$M54)&amp;IF(CONSTRUCTIONS!$Q54="",";",",")))</f>
        <v/>
      </c>
      <c r="B377" s="412" t="str">
        <f>IF(CONSTRUCTIONS!$D54="","","! Layer 1")</f>
        <v/>
      </c>
    </row>
    <row r="378" spans="1:2">
      <c r="A378" s="412" t="str">
        <f>IF(CONSTRUCTIONS!$D54="","",IF(CONSTRUCTIONS!$Q54="","",IF(VLOOKUP(CONSTRUCTIONS!$Q54,Data!$D$3:$E$407,2,0)="","    "&amp;CONSTRUCTIONS!$Q54,"    "&amp;VLOOKUP(CONSTRUCTIONS!$Q54,Data!$D$3:$E$407,2,0)&amp;" "&amp;CONSTRUCTIONS!$Q54)&amp;IF(CONSTRUCTIONS!$U54="",";",",")))</f>
        <v/>
      </c>
      <c r="B378" s="412" t="str">
        <f>IF(CONSTRUCTIONS!$D54="","","! Layer 2")</f>
        <v/>
      </c>
    </row>
    <row r="379" spans="1:2">
      <c r="A379" s="412" t="str">
        <f>IF(CONSTRUCTIONS!$D54="","",IF(CONSTRUCTIONS!$U54="","",IF(VLOOKUP(CONSTRUCTIONS!$U54,Data!$D$3:$E$407,2,0)="","    "&amp;CONSTRUCTIONS!$U54,"    "&amp;VLOOKUP(CONSTRUCTIONS!$U54,Data!$D$3:$E$407,2,0)&amp;" "&amp;CONSTRUCTIONS!$U54)&amp;IF(CONSTRUCTIONS!$Y54="",";",",")))</f>
        <v/>
      </c>
      <c r="B379" s="412" t="str">
        <f>IF(CONSTRUCTIONS!$D54="","","! Layer 3")</f>
        <v/>
      </c>
    </row>
    <row r="380" spans="1:2">
      <c r="A380" s="412" t="str">
        <f>IF(CONSTRUCTIONS!$D54="","",IF(CONSTRUCTIONS!$Y54="","",IF(VLOOKUP(CONSTRUCTIONS!$Y54,Data!$D$3:$E$407,2,0)="","    "&amp;CONSTRUCTIONS!$Y54,"    "&amp;VLOOKUP(CONSTRUCTIONS!$Y54,Data!$D$3:$E$407,2,0)&amp;" "&amp;CONSTRUCTIONS!$Y54)&amp;IF(CONSTRUCTIONS!$AC54="",";",",")))</f>
        <v/>
      </c>
      <c r="B380" s="412" t="str">
        <f>IF(CONSTRUCTIONS!$D54="","","! Layer 4")</f>
        <v/>
      </c>
    </row>
    <row r="381" spans="1:2">
      <c r="A381" s="412" t="str">
        <f>IF(CONSTRUCTIONS!$D54="","",IF(CONSTRUCTIONS!$AC54="","",IF(VLOOKUP(CONSTRUCTIONS!$AC54,Data!$D$3:$E$407,2,0)="","    "&amp;CONSTRUCTIONS!$AC54,"    "&amp;VLOOKUP(CONSTRUCTIONS!$AC54,Data!$D$3:$E$407,2,0)&amp;" "&amp;CONSTRUCTIONS!$AC54)&amp;";"))</f>
        <v/>
      </c>
      <c r="B381" s="412" t="str">
        <f>IF(CONSTRUCTIONS!$D54="","","! Layer 5")</f>
        <v/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05"/>
  <sheetViews>
    <sheetView zoomScaleNormal="100" zoomScalePageLayoutView="60" workbookViewId="0"/>
  </sheetViews>
  <sheetFormatPr defaultRowHeight="14.25"/>
  <cols>
    <col min="1" max="1" width="27.375" style="1"/>
    <col min="2" max="1025" width="12" style="1"/>
  </cols>
  <sheetData>
    <row r="1" spans="1:9">
      <c r="A1" s="412"/>
      <c r="B1" s="412"/>
      <c r="C1" s="412"/>
      <c r="D1" s="412"/>
      <c r="E1" s="412"/>
      <c r="F1" s="412"/>
      <c r="G1" s="412"/>
    </row>
    <row r="2" spans="1:9">
      <c r="A2" s="412" t="s">
        <v>1142</v>
      </c>
      <c r="B2" s="412" t="s">
        <v>1143</v>
      </c>
      <c r="C2" s="412"/>
      <c r="D2" s="412"/>
      <c r="E2" s="412"/>
      <c r="F2" s="412"/>
      <c r="G2" s="412"/>
    </row>
    <row r="3" spans="1:9">
      <c r="A3" s="412" t="s">
        <v>1144</v>
      </c>
      <c r="B3" s="412"/>
      <c r="C3" s="412"/>
      <c r="D3" s="412"/>
      <c r="E3" s="412"/>
      <c r="F3" s="412"/>
      <c r="G3" s="412"/>
    </row>
    <row r="4" spans="1:9">
      <c r="A4" s="412"/>
      <c r="B4" s="412"/>
      <c r="C4" s="412"/>
      <c r="D4" s="412"/>
      <c r="E4" s="412"/>
      <c r="F4" s="412"/>
      <c r="G4" s="412"/>
    </row>
    <row r="5" spans="1:9">
      <c r="A5" s="412"/>
      <c r="B5" s="412"/>
      <c r="C5" s="412"/>
      <c r="D5" s="412"/>
      <c r="E5" s="412"/>
      <c r="F5" s="412"/>
      <c r="G5" s="412"/>
    </row>
    <row r="6" spans="1:9">
      <c r="A6" s="412"/>
      <c r="B6" s="412"/>
      <c r="C6" s="412"/>
      <c r="D6" s="412"/>
      <c r="E6" s="412"/>
      <c r="F6" s="412"/>
      <c r="G6" s="412"/>
    </row>
    <row r="7" spans="1:9">
      <c r="A7" s="412" t="str">
        <f>IF(Data!$D3="","","Material,")</f>
        <v>Material,</v>
      </c>
      <c r="B7" s="412" t="str">
        <f>IF(Data!$D3="",""," ! User material def'n from MATERIALS spreadsheet,")</f>
        <v xml:space="preserve"> ! User material def'n from MATERIALS spreadsheet,</v>
      </c>
      <c r="C7" s="412"/>
      <c r="D7" s="412"/>
      <c r="E7" s="412"/>
      <c r="F7" s="412"/>
      <c r="G7" s="412"/>
    </row>
    <row r="8" spans="1:9">
      <c r="A8" s="412" t="str">
        <f>IF(Data!$D3="","","    Matl "&amp;Data!$C3&amp;" "&amp;Data!$D3&amp;",")</f>
        <v xml:space="preserve">    Matl 1 AirSpace,</v>
      </c>
      <c r="B8" s="412" t="str">
        <f>IF(Data!$D3="",""," ! under # ser material def'n from MATERIALS spreadsheet,")</f>
        <v xml:space="preserve"> ! under # ser material def'n from MATERIALS spreadsheet,</v>
      </c>
      <c r="E8" s="412"/>
      <c r="F8" s="412" t="str">
        <f>IF('CSV1'!$C7="","",Data!N3 &amp;",")</f>
        <v/>
      </c>
      <c r="G8" s="412"/>
    </row>
    <row r="9" spans="1:9">
      <c r="A9" s="412" t="str">
        <f>IF(Data!$D3="",",","    "&amp;Data!$I3&amp;",")</f>
        <v xml:space="preserve">    Smooth,</v>
      </c>
      <c r="B9" s="412" t="str">
        <f>IF(Data!$D3="",""," ! Roughness")</f>
        <v xml:space="preserve"> ! Roughness</v>
      </c>
      <c r="E9" s="412"/>
      <c r="F9" s="412"/>
      <c r="G9" s="412"/>
    </row>
    <row r="10" spans="1:9">
      <c r="A10" s="412" t="str">
        <f>IF(Data!$D3="",",","    "&amp;Data!$J3/1000&amp;",")</f>
        <v xml:space="preserve">    0.001,</v>
      </c>
      <c r="B10" s="412" t="str">
        <f>IF(Data!$D3="",""," ! Thickness (m)")</f>
        <v xml:space="preserve"> ! Thickness (m)</v>
      </c>
      <c r="E10" s="412"/>
      <c r="F10" s="412"/>
      <c r="G10" s="412"/>
    </row>
    <row r="11" spans="1:9">
      <c r="A11" s="412" t="str">
        <f>IF(Data!$D3="",",","    "&amp;Data!$K3&amp;",")</f>
        <v xml:space="preserve">    1,</v>
      </c>
      <c r="B11" s="412" t="str">
        <f>IF(Data!$D3="",""," ! Conductivity (W/m-K)")</f>
        <v xml:space="preserve"> ! Conductivity (W/m-K)</v>
      </c>
      <c r="E11" s="412"/>
      <c r="F11" s="413"/>
      <c r="G11" s="412"/>
      <c r="H11" s="414"/>
      <c r="I11" s="414"/>
    </row>
    <row r="12" spans="1:9">
      <c r="A12" s="412" t="str">
        <f>IF(Data!$D3="",",","    "&amp;Data!$L3&amp;",")</f>
        <v xml:space="preserve">    1,</v>
      </c>
      <c r="B12" s="412" t="str">
        <f>IF(Data!$D3="",""," ! Density kg/m3")</f>
        <v xml:space="preserve"> ! Density kg/m3</v>
      </c>
      <c r="E12" s="412"/>
      <c r="F12" s="412"/>
      <c r="G12" s="412"/>
    </row>
    <row r="13" spans="1:9">
      <c r="A13" s="412" t="str">
        <f>IF(Data!$D3="",",","    "&amp;Data!$M3&amp;",")</f>
        <v xml:space="preserve">    1,</v>
      </c>
      <c r="B13" s="412" t="str">
        <f>IF(Data!$D3="",""," ! Specific Heat (J/kg-K)")</f>
        <v xml:space="preserve"> ! Specific Heat (J/kg-K)</v>
      </c>
      <c r="E13" s="412"/>
      <c r="F13" s="412"/>
      <c r="G13" s="412"/>
    </row>
    <row r="14" spans="1:9">
      <c r="A14" s="412" t="str">
        <f>IF(Data!$D3="",",","    "&amp;Data!$N3&amp;",")</f>
        <v xml:space="preserve">    0.5,</v>
      </c>
      <c r="B14" s="412" t="str">
        <f>IF(Data!$D3="",""," ! Thermal Absorptance")</f>
        <v xml:space="preserve"> ! Thermal Absorptance</v>
      </c>
      <c r="E14" s="412"/>
      <c r="F14" s="412"/>
      <c r="G14" s="412"/>
    </row>
    <row r="15" spans="1:9">
      <c r="A15" s="412" t="str">
        <f>IF(Data!$D3="",",","    "&amp;Data!$O3&amp;",")</f>
        <v xml:space="preserve">    ,</v>
      </c>
      <c r="B15" s="412" t="str">
        <f>IF(Data!$D3="",""," ! Solar Absorptance")</f>
        <v xml:space="preserve"> ! Solar Absorptance</v>
      </c>
      <c r="E15" s="412"/>
      <c r="F15" s="412"/>
      <c r="G15" s="412"/>
    </row>
    <row r="16" spans="1:9">
      <c r="A16" s="412" t="str">
        <f>IF(Data!$D3="",",","    "&amp;Data!$P3&amp;";")</f>
        <v xml:space="preserve">    ;</v>
      </c>
      <c r="B16" s="412" t="str">
        <f>IF(Data!$D3="",""," ! Visible Absorptance")</f>
        <v xml:space="preserve"> ! Visible Absorptance</v>
      </c>
      <c r="E16" s="412"/>
      <c r="F16" s="412"/>
      <c r="G16" s="412"/>
    </row>
    <row r="17" spans="1:8">
      <c r="A17" s="412"/>
      <c r="B17" s="412"/>
      <c r="E17" s="412"/>
      <c r="F17" s="412"/>
      <c r="G17" s="412"/>
    </row>
    <row r="18" spans="1:8">
      <c r="A18" s="412" t="str">
        <f>IF(Data!$D4="","","Material,")</f>
        <v>Material,</v>
      </c>
      <c r="B18" s="412" t="str">
        <f>IF(Data!$D4="",""," ! User material def'n from MATERIALS spreadsheet,")</f>
        <v xml:space="preserve"> ! User material def'n from MATERIALS spreadsheet,</v>
      </c>
      <c r="C18" s="412"/>
      <c r="D18" s="412"/>
      <c r="E18" s="412"/>
      <c r="F18" s="412"/>
      <c r="G18" s="412"/>
      <c r="H18" s="1">
        <v>2</v>
      </c>
    </row>
    <row r="19" spans="1:8">
      <c r="A19" s="412" t="str">
        <f>IF(Data!$D4="","","    Matl "&amp;Data!$C4&amp;" "&amp;Data!$D4&amp;",")</f>
        <v xml:space="preserve">    Matl 2 Cellular glass insulation 75 mm,</v>
      </c>
      <c r="B19" s="412" t="str">
        <f>IF(Data!$D4="",""," ! under # ser material def'n from MATERIALS spreadsheet,")</f>
        <v xml:space="preserve"> ! under # ser material def'n from MATERIALS spreadsheet,</v>
      </c>
      <c r="E19" s="412"/>
      <c r="F19" s="412"/>
      <c r="G19" s="412"/>
      <c r="H19" s="1">
        <f t="shared" ref="H19:H50" si="0">H18+1</f>
        <v>3</v>
      </c>
    </row>
    <row r="20" spans="1:8">
      <c r="A20" s="412" t="str">
        <f>IF(Data!$D4="",",","    "&amp;Data!$I4&amp;",")</f>
        <v xml:space="preserve">    Smooth,</v>
      </c>
      <c r="B20" s="412" t="str">
        <f>IF(Data!$D4="",""," ! Roughness")</f>
        <v xml:space="preserve"> ! Roughness</v>
      </c>
      <c r="E20" s="412"/>
      <c r="F20" s="412"/>
      <c r="G20" s="412"/>
      <c r="H20" s="1">
        <f t="shared" si="0"/>
        <v>4</v>
      </c>
    </row>
    <row r="21" spans="1:8">
      <c r="A21" s="412" t="str">
        <f>IF(Data!$D4="",",","    "&amp;Data!$J4/1000&amp;",")</f>
        <v xml:space="preserve">    0.001,</v>
      </c>
      <c r="B21" s="412" t="str">
        <f>IF(Data!$D4="",""," ! Thickness (m)")</f>
        <v xml:space="preserve"> ! Thickness (m)</v>
      </c>
      <c r="E21" s="412"/>
      <c r="F21" s="412"/>
      <c r="G21" s="412"/>
      <c r="H21" s="1">
        <f t="shared" si="0"/>
        <v>5</v>
      </c>
    </row>
    <row r="22" spans="1:8">
      <c r="A22" s="412" t="str">
        <f>IF(Data!$D4="",",","    "&amp;Data!$K4&amp;",")</f>
        <v xml:space="preserve">    1,</v>
      </c>
      <c r="B22" s="412" t="str">
        <f>IF(Data!$D4="",""," ! Conductivity (W/m-K)")</f>
        <v xml:space="preserve"> ! Conductivity (W/m-K)</v>
      </c>
      <c r="E22" s="412"/>
      <c r="F22" s="412"/>
      <c r="G22" s="412"/>
      <c r="H22" s="1">
        <f t="shared" si="0"/>
        <v>6</v>
      </c>
    </row>
    <row r="23" spans="1:8">
      <c r="A23" s="412" t="str">
        <f>IF(Data!$D4="",",","    "&amp;Data!$L4&amp;",")</f>
        <v xml:space="preserve">    1,</v>
      </c>
      <c r="B23" s="412" t="str">
        <f>IF(Data!$D4="",""," ! Density kg/m3")</f>
        <v xml:space="preserve"> ! Density kg/m3</v>
      </c>
      <c r="E23" s="412"/>
      <c r="F23" s="412"/>
      <c r="G23" s="412"/>
      <c r="H23" s="1">
        <f t="shared" si="0"/>
        <v>7</v>
      </c>
    </row>
    <row r="24" spans="1:8">
      <c r="A24" s="412" t="str">
        <f>IF(Data!$D4="",",","    "&amp;Data!$M4&amp;",")</f>
        <v xml:space="preserve">    1,</v>
      </c>
      <c r="B24" s="412" t="str">
        <f>IF(Data!$D4="",""," ! Specific Heat (J/kg-K)")</f>
        <v xml:space="preserve"> ! Specific Heat (J/kg-K)</v>
      </c>
      <c r="E24" s="412"/>
      <c r="F24" s="412"/>
      <c r="G24" s="412"/>
      <c r="H24" s="1">
        <f t="shared" si="0"/>
        <v>8</v>
      </c>
    </row>
    <row r="25" spans="1:8">
      <c r="A25" s="412" t="str">
        <f>IF(Data!$D4="",",","    "&amp;Data!$N4&amp;",")</f>
        <v xml:space="preserve">    0.05,</v>
      </c>
      <c r="B25" s="412" t="str">
        <f>IF(Data!$D4="",""," ! Thermal Absorptance")</f>
        <v xml:space="preserve"> ! Thermal Absorptance</v>
      </c>
      <c r="E25" s="412"/>
      <c r="F25" s="412"/>
      <c r="G25" s="412"/>
      <c r="H25" s="1">
        <f t="shared" si="0"/>
        <v>9</v>
      </c>
    </row>
    <row r="26" spans="1:8">
      <c r="A26" s="412" t="str">
        <f>IF(Data!$D4="",",","    "&amp;Data!$O4&amp;",")</f>
        <v xml:space="preserve">    ,</v>
      </c>
      <c r="B26" s="412" t="str">
        <f>IF(Data!$D4="",""," ! Solar Absorptance")</f>
        <v xml:space="preserve"> ! Solar Absorptance</v>
      </c>
      <c r="F26" s="412"/>
      <c r="G26" s="412"/>
      <c r="H26" s="1">
        <f t="shared" si="0"/>
        <v>10</v>
      </c>
    </row>
    <row r="27" spans="1:8">
      <c r="A27" s="412" t="str">
        <f>IF(Data!$D4="",",","    "&amp;Data!$P4&amp;";")</f>
        <v xml:space="preserve">    ;</v>
      </c>
      <c r="B27" s="412" t="str">
        <f>IF(Data!$D4="",""," ! Visible Absorptance")</f>
        <v xml:space="preserve"> ! Visible Absorptance</v>
      </c>
      <c r="F27" s="412"/>
      <c r="G27" s="412"/>
      <c r="H27" s="1">
        <f t="shared" si="0"/>
        <v>11</v>
      </c>
    </row>
    <row r="28" spans="1:8">
      <c r="A28" s="412"/>
      <c r="B28" s="412"/>
      <c r="F28" s="412"/>
      <c r="G28" s="412"/>
      <c r="H28" s="1">
        <f t="shared" si="0"/>
        <v>12</v>
      </c>
    </row>
    <row r="29" spans="1:8">
      <c r="A29" s="412" t="str">
        <f>IF(Data!$D5="","","Material,")</f>
        <v>Material,</v>
      </c>
      <c r="B29" s="412" t="str">
        <f>IF(Data!$D5="",""," ! User material def'n from MATERIALS spreadsheet,")</f>
        <v xml:space="preserve"> ! User material def'n from MATERIALS spreadsheet,</v>
      </c>
      <c r="F29" s="412"/>
      <c r="G29" s="412"/>
      <c r="H29" s="1">
        <f t="shared" si="0"/>
        <v>13</v>
      </c>
    </row>
    <row r="30" spans="1:8">
      <c r="A30" s="412" t="str">
        <f>IF(Data!$D5="","","    Matl "&amp;Data!$C5&amp;" "&amp;Data!$D5&amp;",")</f>
        <v xml:space="preserve">    Matl 3 16mm gypsum board,</v>
      </c>
      <c r="B30" s="412" t="str">
        <f>IF(Data!$D5="",""," ! under # ser material def'n from MATERIALS spreadsheet,")</f>
        <v xml:space="preserve"> ! under # ser material def'n from MATERIALS spreadsheet,</v>
      </c>
      <c r="F30" s="412"/>
      <c r="G30" s="412"/>
      <c r="H30" s="1">
        <f t="shared" si="0"/>
        <v>14</v>
      </c>
    </row>
    <row r="31" spans="1:8">
      <c r="A31" s="412" t="str">
        <f>IF(Data!$D5="",",","    "&amp;Data!$I5&amp;",")</f>
        <v xml:space="preserve">    Smooth,</v>
      </c>
      <c r="B31" s="412" t="str">
        <f>IF(Data!$D5="",""," ! Roughness")</f>
        <v xml:space="preserve"> ! Roughness</v>
      </c>
      <c r="F31" s="412"/>
      <c r="G31" s="412"/>
      <c r="H31" s="1">
        <f t="shared" si="0"/>
        <v>15</v>
      </c>
    </row>
    <row r="32" spans="1:8">
      <c r="A32" s="412" t="str">
        <f>IF(Data!$D5="",",","    "&amp;Data!$J5/1000&amp;",")</f>
        <v xml:space="preserve">    0.001,</v>
      </c>
      <c r="B32" s="412" t="str">
        <f>IF(Data!$D5="",""," ! Thickness (m)")</f>
        <v xml:space="preserve"> ! Thickness (m)</v>
      </c>
      <c r="F32" s="412"/>
      <c r="G32" s="412"/>
      <c r="H32" s="1">
        <f t="shared" si="0"/>
        <v>16</v>
      </c>
    </row>
    <row r="33" spans="1:8">
      <c r="A33" s="412" t="str">
        <f>IF(Data!$D5="",",","    "&amp;Data!$K5&amp;",")</f>
        <v xml:space="preserve">    1,</v>
      </c>
      <c r="B33" s="412" t="str">
        <f>IF(Data!$D5="",""," ! Conductivity (W/m-K)")</f>
        <v xml:space="preserve"> ! Conductivity (W/m-K)</v>
      </c>
      <c r="F33" s="412"/>
      <c r="G33" s="412"/>
      <c r="H33" s="1">
        <f t="shared" si="0"/>
        <v>17</v>
      </c>
    </row>
    <row r="34" spans="1:8">
      <c r="A34" s="412" t="str">
        <f>IF(Data!$D5="",",","    "&amp;Data!$L5&amp;",")</f>
        <v xml:space="preserve">    1,</v>
      </c>
      <c r="B34" s="412" t="str">
        <f>IF(Data!$D5="",""," ! Density kg/m3")</f>
        <v xml:space="preserve"> ! Density kg/m3</v>
      </c>
      <c r="F34" s="412"/>
      <c r="G34" s="412"/>
      <c r="H34" s="1">
        <f t="shared" si="0"/>
        <v>18</v>
      </c>
    </row>
    <row r="35" spans="1:8">
      <c r="A35" s="412" t="str">
        <f>IF(Data!$D5="",",","    "&amp;Data!$M5&amp;",")</f>
        <v xml:space="preserve">    1,</v>
      </c>
      <c r="B35" s="412" t="str">
        <f>IF(Data!$D5="",""," ! Specific Heat (J/kg-K)")</f>
        <v xml:space="preserve"> ! Specific Heat (J/kg-K)</v>
      </c>
      <c r="F35" s="412"/>
      <c r="G35" s="412"/>
      <c r="H35" s="1">
        <f t="shared" si="0"/>
        <v>19</v>
      </c>
    </row>
    <row r="36" spans="1:8">
      <c r="A36" s="412" t="str">
        <f>IF(Data!$D5="",",","    "&amp;Data!$N5&amp;",")</f>
        <v xml:space="preserve">    0.16,</v>
      </c>
      <c r="B36" s="412" t="str">
        <f>IF(Data!$D5="",""," ! Thermal Absorptance")</f>
        <v xml:space="preserve"> ! Thermal Absorptance</v>
      </c>
      <c r="F36" s="412"/>
      <c r="G36" s="412"/>
      <c r="H36" s="1">
        <f t="shared" si="0"/>
        <v>20</v>
      </c>
    </row>
    <row r="37" spans="1:8">
      <c r="A37" s="412" t="str">
        <f>IF(Data!$D5="",",","    "&amp;Data!$O5&amp;",")</f>
        <v xml:space="preserve">    ,</v>
      </c>
      <c r="B37" s="412" t="str">
        <f>IF(Data!$D5="",""," ! Solar Absorptance")</f>
        <v xml:space="preserve"> ! Solar Absorptance</v>
      </c>
      <c r="F37" s="412"/>
      <c r="G37" s="412"/>
      <c r="H37" s="1">
        <f t="shared" si="0"/>
        <v>21</v>
      </c>
    </row>
    <row r="38" spans="1:8">
      <c r="A38" s="412" t="str">
        <f>IF(Data!$D5="",",","    "&amp;Data!$P5&amp;";")</f>
        <v xml:space="preserve">    ;</v>
      </c>
      <c r="B38" s="412" t="str">
        <f>IF(Data!$D5="",""," ! Visible Absorptance")</f>
        <v xml:space="preserve"> ! Visible Absorptance</v>
      </c>
      <c r="F38" s="412"/>
      <c r="G38" s="412"/>
      <c r="H38" s="1">
        <f t="shared" si="0"/>
        <v>22</v>
      </c>
    </row>
    <row r="39" spans="1:8">
      <c r="A39" s="412"/>
      <c r="B39" s="412"/>
      <c r="F39" s="412"/>
      <c r="G39" s="412"/>
      <c r="H39" s="1">
        <f t="shared" si="0"/>
        <v>23</v>
      </c>
    </row>
    <row r="40" spans="1:8">
      <c r="A40" s="412" t="str">
        <f>IF(Data!$D6="","","Material,")</f>
        <v>Material,</v>
      </c>
      <c r="B40" s="412" t="str">
        <f>IF(Data!$D6="",""," ! User material def'n from MATERIALS spreadsheet,")</f>
        <v xml:space="preserve"> ! User material def'n from MATERIALS spreadsheet,</v>
      </c>
      <c r="F40" s="412"/>
      <c r="G40" s="412"/>
      <c r="H40" s="1">
        <f t="shared" si="0"/>
        <v>24</v>
      </c>
    </row>
    <row r="41" spans="1:8">
      <c r="A41" s="412" t="str">
        <f>IF(Data!$D6="","","    Matl "&amp;Data!$C6&amp;" "&amp;Data!$D6&amp;",")</f>
        <v xml:space="preserve">    Matl 4 Built Up Roofing,</v>
      </c>
      <c r="B41" s="412" t="str">
        <f>IF(Data!$D6="",""," ! under # ser material def'n from MATERIALS spreadsheet,")</f>
        <v xml:space="preserve"> ! under # ser material def'n from MATERIALS spreadsheet,</v>
      </c>
      <c r="F41" s="412"/>
      <c r="G41" s="412"/>
      <c r="H41" s="1">
        <f t="shared" si="0"/>
        <v>25</v>
      </c>
    </row>
    <row r="42" spans="1:8">
      <c r="A42" s="412" t="str">
        <f>IF(Data!$D6="",",","    "&amp;Data!$I6&amp;",")</f>
        <v xml:space="preserve">    Smooth,</v>
      </c>
      <c r="B42" s="412" t="str">
        <f>IF(Data!$D6="",""," ! Roughness")</f>
        <v xml:space="preserve"> ! Roughness</v>
      </c>
      <c r="F42" s="412"/>
      <c r="G42" s="412"/>
      <c r="H42" s="1">
        <f t="shared" si="0"/>
        <v>26</v>
      </c>
    </row>
    <row r="43" spans="1:8">
      <c r="A43" s="412" t="str">
        <f>IF(Data!$D6="",",","    "&amp;Data!$J6/1000&amp;",")</f>
        <v xml:space="preserve">    0.001,</v>
      </c>
      <c r="B43" s="412" t="str">
        <f>IF(Data!$D6="",""," ! Thickness (m)")</f>
        <v xml:space="preserve"> ! Thickness (m)</v>
      </c>
      <c r="F43" s="412"/>
      <c r="G43" s="412"/>
      <c r="H43" s="1">
        <f t="shared" si="0"/>
        <v>27</v>
      </c>
    </row>
    <row r="44" spans="1:8">
      <c r="A44" s="412" t="str">
        <f>IF(Data!$D6="",",","    "&amp;Data!$K6&amp;",")</f>
        <v xml:space="preserve">    1,</v>
      </c>
      <c r="B44" s="412" t="str">
        <f>IF(Data!$D6="",""," ! Conductivity (W/m-K)")</f>
        <v xml:space="preserve"> ! Conductivity (W/m-K)</v>
      </c>
      <c r="F44" s="412"/>
      <c r="G44" s="412"/>
      <c r="H44" s="1">
        <f t="shared" si="0"/>
        <v>28</v>
      </c>
    </row>
    <row r="45" spans="1:8">
      <c r="A45" s="412" t="str">
        <f>IF(Data!$D6="",",","    "&amp;Data!$L6&amp;",")</f>
        <v xml:space="preserve">    1,</v>
      </c>
      <c r="B45" s="412" t="str">
        <f>IF(Data!$D6="",""," ! Density kg/m3")</f>
        <v xml:space="preserve"> ! Density kg/m3</v>
      </c>
      <c r="F45" s="412"/>
      <c r="G45" s="412"/>
      <c r="H45" s="1">
        <f t="shared" si="0"/>
        <v>29</v>
      </c>
    </row>
    <row r="46" spans="1:8">
      <c r="A46" s="412" t="str">
        <f>IF(Data!$D6="",",","    "&amp;Data!$M6&amp;",")</f>
        <v xml:space="preserve">    1,</v>
      </c>
      <c r="B46" s="412" t="str">
        <f>IF(Data!$D6="",""," ! Specific Heat (J/kg-K)")</f>
        <v xml:space="preserve"> ! Specific Heat (J/kg-K)</v>
      </c>
      <c r="F46" s="412"/>
      <c r="G46" s="412"/>
      <c r="H46" s="1">
        <f t="shared" si="0"/>
        <v>30</v>
      </c>
    </row>
    <row r="47" spans="1:8">
      <c r="A47" s="412" t="str">
        <f>IF(Data!$D6="",",","    "&amp;Data!$N6&amp;",")</f>
        <v xml:space="preserve">    0.04,</v>
      </c>
      <c r="B47" s="412" t="str">
        <f>IF(Data!$D6="",""," ! Thermal Absorptance")</f>
        <v xml:space="preserve"> ! Thermal Absorptance</v>
      </c>
      <c r="F47" s="412"/>
      <c r="G47" s="412"/>
      <c r="H47" s="1">
        <f t="shared" si="0"/>
        <v>31</v>
      </c>
    </row>
    <row r="48" spans="1:8">
      <c r="A48" s="412" t="str">
        <f>IF(Data!$D6="",",","    "&amp;Data!$O6&amp;",")</f>
        <v xml:space="preserve">    ,</v>
      </c>
      <c r="B48" s="412" t="str">
        <f>IF(Data!$D6="",""," ! Solar Absorptance")</f>
        <v xml:space="preserve"> ! Solar Absorptance</v>
      </c>
      <c r="F48" s="412"/>
      <c r="G48" s="412"/>
      <c r="H48" s="1">
        <f t="shared" si="0"/>
        <v>32</v>
      </c>
    </row>
    <row r="49" spans="1:8">
      <c r="A49" s="412" t="str">
        <f>IF(Data!$D6="",",","    "&amp;Data!$P6&amp;";")</f>
        <v xml:space="preserve">    ;</v>
      </c>
      <c r="B49" s="412" t="str">
        <f>IF(Data!$D6="",""," ! Visible Absorptance")</f>
        <v xml:space="preserve"> ! Visible Absorptance</v>
      </c>
      <c r="F49" s="412"/>
      <c r="G49" s="412"/>
      <c r="H49" s="1">
        <f t="shared" si="0"/>
        <v>33</v>
      </c>
    </row>
    <row r="50" spans="1:8">
      <c r="A50" s="412"/>
      <c r="B50" s="412"/>
      <c r="F50" s="412"/>
      <c r="G50" s="412"/>
      <c r="H50" s="1">
        <f t="shared" si="0"/>
        <v>34</v>
      </c>
    </row>
    <row r="51" spans="1:8">
      <c r="A51" s="412" t="str">
        <f>IF(Data!$D7="","","Material,")</f>
        <v>Material,</v>
      </c>
      <c r="B51" s="412" t="str">
        <f>IF(Data!$D7="",""," ! User material def'n from MATERIALS spreadsheet,")</f>
        <v xml:space="preserve"> ! User material def'n from MATERIALS spreadsheet,</v>
      </c>
      <c r="F51" s="412"/>
      <c r="G51" s="412"/>
      <c r="H51" s="1">
        <f t="shared" ref="H51:H82" si="1">H50+1</f>
        <v>35</v>
      </c>
    </row>
    <row r="52" spans="1:8">
      <c r="A52" s="412" t="str">
        <f>IF(Data!$D7="","","    Matl "&amp;Data!$C7&amp;" "&amp;Data!$D7&amp;",")</f>
        <v xml:space="preserve">    Matl 5 Medium weight brick,</v>
      </c>
      <c r="B52" s="412" t="str">
        <f>IF(Data!$D7="",""," ! under # ser material def'n from MATERIALS spreadsheet,")</f>
        <v xml:space="preserve"> ! under # ser material def'n from MATERIALS spreadsheet,</v>
      </c>
      <c r="F52" s="412"/>
      <c r="G52" s="412"/>
      <c r="H52" s="1">
        <f t="shared" si="1"/>
        <v>36</v>
      </c>
    </row>
    <row r="53" spans="1:8">
      <c r="A53" s="412" t="str">
        <f>IF(Data!$D7="",",","    "&amp;Data!$I7&amp;",")</f>
        <v xml:space="preserve">    Smooth,</v>
      </c>
      <c r="B53" s="412" t="str">
        <f>IF(Data!$D7="",""," ! Roughness")</f>
        <v xml:space="preserve"> ! Roughness</v>
      </c>
      <c r="F53" s="412"/>
      <c r="G53" s="412"/>
      <c r="H53" s="1">
        <f t="shared" si="1"/>
        <v>37</v>
      </c>
    </row>
    <row r="54" spans="1:8">
      <c r="A54" s="412" t="str">
        <f>IF(Data!$D7="",",","    "&amp;Data!$J7/1000&amp;",")</f>
        <v xml:space="preserve">    0.001,</v>
      </c>
      <c r="B54" s="412" t="str">
        <f>IF(Data!$D7="",""," ! Thickness (m)")</f>
        <v xml:space="preserve"> ! Thickness (m)</v>
      </c>
      <c r="F54" s="412"/>
      <c r="G54" s="412"/>
      <c r="H54" s="1">
        <f t="shared" si="1"/>
        <v>38</v>
      </c>
    </row>
    <row r="55" spans="1:8">
      <c r="A55" s="412" t="str">
        <f>IF(Data!$D7="",",","    "&amp;Data!$K7&amp;",")</f>
        <v xml:space="preserve">    1,</v>
      </c>
      <c r="B55" s="412" t="str">
        <f>IF(Data!$D7="",""," ! Conductivity (W/m-K)")</f>
        <v xml:space="preserve"> ! Conductivity (W/m-K)</v>
      </c>
      <c r="F55" s="412"/>
      <c r="G55" s="412"/>
      <c r="H55" s="1">
        <f t="shared" si="1"/>
        <v>39</v>
      </c>
    </row>
    <row r="56" spans="1:8">
      <c r="A56" s="412" t="str">
        <f>IF(Data!$D7="",",","    "&amp;Data!$L7&amp;",")</f>
        <v xml:space="preserve">    1,</v>
      </c>
      <c r="B56" s="412" t="str">
        <f>IF(Data!$D7="",""," ! Density kg/m3")</f>
        <v xml:space="preserve"> ! Density kg/m3</v>
      </c>
      <c r="F56" s="412"/>
      <c r="G56" s="412"/>
      <c r="H56" s="1">
        <f t="shared" si="1"/>
        <v>40</v>
      </c>
    </row>
    <row r="57" spans="1:8">
      <c r="A57" s="412" t="str">
        <f>IF(Data!$D7="",",","    "&amp;Data!$M7&amp;",")</f>
        <v xml:space="preserve">    1,</v>
      </c>
      <c r="B57" s="412" t="str">
        <f>IF(Data!$D7="",""," ! Specific Heat (J/kg-K)")</f>
        <v xml:space="preserve"> ! Specific Heat (J/kg-K)</v>
      </c>
      <c r="F57" s="412"/>
      <c r="G57" s="412"/>
      <c r="H57" s="1">
        <f t="shared" si="1"/>
        <v>41</v>
      </c>
    </row>
    <row r="58" spans="1:8">
      <c r="A58" s="412" t="str">
        <f>IF(Data!$D7="",",","    "&amp;Data!$N7&amp;",")</f>
        <v xml:space="preserve">    0.78,</v>
      </c>
      <c r="B58" s="412" t="str">
        <f>IF(Data!$D7="",""," ! Thermal Absorptance")</f>
        <v xml:space="preserve"> ! Thermal Absorptance</v>
      </c>
      <c r="F58" s="412"/>
      <c r="G58" s="412"/>
      <c r="H58" s="1">
        <f t="shared" si="1"/>
        <v>42</v>
      </c>
    </row>
    <row r="59" spans="1:8">
      <c r="A59" s="412" t="str">
        <f>IF(Data!$D7="",",","    "&amp;Data!$O7&amp;",")</f>
        <v xml:space="preserve">    ,</v>
      </c>
      <c r="B59" s="412" t="str">
        <f>IF(Data!$D7="",""," ! Solar Absorptance")</f>
        <v xml:space="preserve"> ! Solar Absorptance</v>
      </c>
      <c r="F59" s="412"/>
      <c r="G59" s="412"/>
      <c r="H59" s="1">
        <f t="shared" si="1"/>
        <v>43</v>
      </c>
    </row>
    <row r="60" spans="1:8">
      <c r="A60" s="412" t="str">
        <f>IF(Data!$D7="",",","    "&amp;Data!$P7&amp;";")</f>
        <v xml:space="preserve">    ;</v>
      </c>
      <c r="B60" s="412" t="str">
        <f>IF(Data!$D7="",""," ! Visible Absorptance")</f>
        <v xml:space="preserve"> ! Visible Absorptance</v>
      </c>
      <c r="F60" s="412"/>
      <c r="G60" s="412"/>
      <c r="H60" s="1">
        <f t="shared" si="1"/>
        <v>44</v>
      </c>
    </row>
    <row r="61" spans="1:8">
      <c r="A61" s="412"/>
      <c r="B61" s="412"/>
      <c r="F61" s="412"/>
      <c r="G61" s="412"/>
      <c r="H61" s="1">
        <f t="shared" si="1"/>
        <v>45</v>
      </c>
    </row>
    <row r="62" spans="1:8">
      <c r="A62" s="412" t="str">
        <f>IF(Data!$D8="","","Material,")</f>
        <v/>
      </c>
      <c r="B62" s="412" t="str">
        <f>IF(Data!$D8="",""," ! User material def'n from MATERIALS spreadsheet,")</f>
        <v/>
      </c>
      <c r="F62" s="412"/>
      <c r="G62" s="412"/>
      <c r="H62" s="1">
        <f t="shared" si="1"/>
        <v>46</v>
      </c>
    </row>
    <row r="63" spans="1:8">
      <c r="A63" s="412" t="str">
        <f>IF(Data!$D8="","","    Matl "&amp;Data!$C8&amp;" "&amp;Data!$D8&amp;",")</f>
        <v/>
      </c>
      <c r="B63" s="412" t="str">
        <f>IF(Data!$D8="",""," ! under # ser material def'n from MATERIALS spreadsheet,")</f>
        <v/>
      </c>
      <c r="F63" s="412"/>
      <c r="G63" s="412"/>
      <c r="H63" s="1">
        <f t="shared" si="1"/>
        <v>47</v>
      </c>
    </row>
    <row r="64" spans="1:8">
      <c r="A64" s="412" t="str">
        <f>IF(Data!$D8="",",","    "&amp;Data!$I8&amp;",")</f>
        <v>,</v>
      </c>
      <c r="B64" s="412" t="str">
        <f>IF(Data!$D8="",""," ! Roughness")</f>
        <v/>
      </c>
      <c r="F64" s="412"/>
      <c r="G64" s="412"/>
      <c r="H64" s="1">
        <f t="shared" si="1"/>
        <v>48</v>
      </c>
    </row>
    <row r="65" spans="1:8">
      <c r="A65" s="412" t="str">
        <f>IF(Data!$D8="",",","    "&amp;Data!$J8/1000&amp;",")</f>
        <v>,</v>
      </c>
      <c r="B65" s="412" t="str">
        <f>IF(Data!$D8="",""," ! Thickness (m)")</f>
        <v/>
      </c>
      <c r="C65" s="412"/>
      <c r="F65" s="412"/>
      <c r="G65" s="412"/>
      <c r="H65" s="1">
        <f t="shared" si="1"/>
        <v>49</v>
      </c>
    </row>
    <row r="66" spans="1:8">
      <c r="A66" s="412" t="str">
        <f>IF(Data!$D8="",",","    "&amp;Data!$K8&amp;",")</f>
        <v>,</v>
      </c>
      <c r="B66" s="412" t="str">
        <f>IF(Data!$D8="",""," ! Conductivity (W/m-K)")</f>
        <v/>
      </c>
      <c r="C66" s="412"/>
      <c r="F66" s="412"/>
      <c r="G66" s="412"/>
      <c r="H66" s="1">
        <f t="shared" si="1"/>
        <v>50</v>
      </c>
    </row>
    <row r="67" spans="1:8">
      <c r="A67" s="412" t="str">
        <f>IF(Data!$D8="",",","    "&amp;Data!$L8&amp;",")</f>
        <v>,</v>
      </c>
      <c r="B67" s="412" t="str">
        <f>IF(Data!$D8="",""," ! Density kg/m3")</f>
        <v/>
      </c>
      <c r="C67" s="412"/>
      <c r="F67" s="412"/>
      <c r="G67" s="412"/>
      <c r="H67" s="1">
        <f t="shared" si="1"/>
        <v>51</v>
      </c>
    </row>
    <row r="68" spans="1:8">
      <c r="A68" s="412" t="str">
        <f>IF(Data!$D8="",",","    "&amp;Data!$M8&amp;",")</f>
        <v>,</v>
      </c>
      <c r="B68" s="412" t="str">
        <f>IF(Data!$D8="",""," ! Specific Heat (J/kg-K)")</f>
        <v/>
      </c>
      <c r="C68" s="412"/>
      <c r="F68" s="412"/>
      <c r="G68" s="412"/>
      <c r="H68" s="1">
        <f t="shared" si="1"/>
        <v>52</v>
      </c>
    </row>
    <row r="69" spans="1:8">
      <c r="A69" s="412" t="str">
        <f>IF(Data!$D8="",",","    "&amp;Data!$N8&amp;",")</f>
        <v>,</v>
      </c>
      <c r="B69" s="412" t="str">
        <f>IF(Data!$D8="",""," ! Thermal Absorptance")</f>
        <v/>
      </c>
      <c r="C69" s="412"/>
      <c r="F69" s="412"/>
      <c r="G69" s="412"/>
      <c r="H69" s="1">
        <f t="shared" si="1"/>
        <v>53</v>
      </c>
    </row>
    <row r="70" spans="1:8">
      <c r="A70" s="412" t="str">
        <f>IF(Data!$D8="",",","    "&amp;Data!$O8&amp;",")</f>
        <v>,</v>
      </c>
      <c r="B70" s="412" t="str">
        <f>IF(Data!$D8="",""," ! Solar Absorptance")</f>
        <v/>
      </c>
      <c r="C70" s="412"/>
      <c r="F70" s="412"/>
      <c r="G70" s="412"/>
      <c r="H70" s="1">
        <f t="shared" si="1"/>
        <v>54</v>
      </c>
    </row>
    <row r="71" spans="1:8">
      <c r="A71" s="412" t="str">
        <f>IF(Data!$D8="",",","    "&amp;Data!$P8&amp;";")</f>
        <v>,</v>
      </c>
      <c r="B71" s="412" t="str">
        <f>IF(Data!$D8="",""," ! Visible Absorptance")</f>
        <v/>
      </c>
      <c r="C71" s="412"/>
      <c r="F71" s="412"/>
      <c r="G71" s="412"/>
      <c r="H71" s="1">
        <f t="shared" si="1"/>
        <v>55</v>
      </c>
    </row>
    <row r="72" spans="1:8">
      <c r="A72" s="412"/>
      <c r="B72" s="412"/>
      <c r="C72" s="412"/>
      <c r="F72" s="412"/>
      <c r="G72" s="412"/>
      <c r="H72" s="1">
        <f t="shared" si="1"/>
        <v>56</v>
      </c>
    </row>
    <row r="73" spans="1:8">
      <c r="A73" s="412" t="str">
        <f>IF(Data!$D9="","","Material,")</f>
        <v/>
      </c>
      <c r="B73" s="412" t="str">
        <f>IF(Data!$D9="",""," ! User material def'n from MATERIALS spreadsheet,")</f>
        <v/>
      </c>
      <c r="C73" s="412"/>
      <c r="F73" s="412"/>
      <c r="G73" s="412"/>
      <c r="H73" s="1">
        <f t="shared" si="1"/>
        <v>57</v>
      </c>
    </row>
    <row r="74" spans="1:8">
      <c r="A74" s="412" t="str">
        <f>IF(Data!$D9="","","    Matl "&amp;Data!$C9&amp;" "&amp;Data!$D9&amp;",")</f>
        <v/>
      </c>
      <c r="B74" s="412" t="str">
        <f>IF(Data!$D9="",""," ! under # ser material def'n from MATERIALS spreadsheet,")</f>
        <v/>
      </c>
      <c r="C74" s="412"/>
      <c r="F74" s="412"/>
      <c r="G74" s="412"/>
      <c r="H74" s="1">
        <f t="shared" si="1"/>
        <v>58</v>
      </c>
    </row>
    <row r="75" spans="1:8">
      <c r="A75" s="412" t="str">
        <f>IF(Data!$D9="",",","    "&amp;Data!$I9&amp;",")</f>
        <v>,</v>
      </c>
      <c r="B75" s="412" t="str">
        <f>IF(Data!$D9="",""," ! Roughness")</f>
        <v/>
      </c>
      <c r="C75" s="412"/>
      <c r="F75" s="412"/>
      <c r="G75" s="412"/>
      <c r="H75" s="1">
        <f t="shared" si="1"/>
        <v>59</v>
      </c>
    </row>
    <row r="76" spans="1:8">
      <c r="A76" s="412" t="str">
        <f>IF(Data!$D9="",",","    "&amp;Data!$J9/1000&amp;",")</f>
        <v>,</v>
      </c>
      <c r="B76" s="412" t="str">
        <f>IF(Data!$D9="",""," ! Thickness (m)")</f>
        <v/>
      </c>
      <c r="C76" s="412"/>
      <c r="F76" s="412"/>
      <c r="G76" s="412"/>
      <c r="H76" s="1">
        <f t="shared" si="1"/>
        <v>60</v>
      </c>
    </row>
    <row r="77" spans="1:8">
      <c r="A77" s="412" t="str">
        <f>IF(Data!$D9="",",","    "&amp;Data!$K9&amp;",")</f>
        <v>,</v>
      </c>
      <c r="B77" s="412" t="str">
        <f>IF(Data!$D9="",""," ! Conductivity (W/m-K)")</f>
        <v/>
      </c>
      <c r="C77" s="412"/>
      <c r="F77" s="412"/>
      <c r="G77" s="412"/>
      <c r="H77" s="1">
        <f t="shared" si="1"/>
        <v>61</v>
      </c>
    </row>
    <row r="78" spans="1:8">
      <c r="A78" s="412" t="str">
        <f>IF(Data!$D9="",",","    "&amp;Data!$L9&amp;",")</f>
        <v>,</v>
      </c>
      <c r="B78" s="412" t="str">
        <f>IF(Data!$D9="",""," ! Density kg/m3")</f>
        <v/>
      </c>
      <c r="C78" s="412"/>
      <c r="F78" s="412"/>
      <c r="G78" s="412"/>
      <c r="H78" s="1">
        <f t="shared" si="1"/>
        <v>62</v>
      </c>
    </row>
    <row r="79" spans="1:8">
      <c r="A79" s="412" t="str">
        <f>IF(Data!$D9="",",","    "&amp;Data!$M9&amp;",")</f>
        <v>,</v>
      </c>
      <c r="B79" s="412" t="str">
        <f>IF(Data!$D9="",""," ! Specific Heat (J/kg-K)")</f>
        <v/>
      </c>
      <c r="C79" s="412"/>
      <c r="F79" s="412"/>
      <c r="G79" s="412"/>
      <c r="H79" s="1">
        <f t="shared" si="1"/>
        <v>63</v>
      </c>
    </row>
    <row r="80" spans="1:8">
      <c r="A80" s="412" t="str">
        <f>IF(Data!$D9="",",","    "&amp;Data!$N9&amp;",")</f>
        <v>,</v>
      </c>
      <c r="B80" s="412" t="str">
        <f>IF(Data!$D9="",""," ! Thermal Absorptance")</f>
        <v/>
      </c>
      <c r="C80" s="412"/>
      <c r="F80" s="412"/>
      <c r="G80" s="412"/>
      <c r="H80" s="1">
        <f t="shared" si="1"/>
        <v>64</v>
      </c>
    </row>
    <row r="81" spans="1:8">
      <c r="A81" s="412" t="str">
        <f>IF(Data!$D9="",",","    "&amp;Data!$O9&amp;",")</f>
        <v>,</v>
      </c>
      <c r="B81" s="412" t="str">
        <f>IF(Data!$D9="",""," ! Solar Absorptance")</f>
        <v/>
      </c>
      <c r="C81" s="412"/>
      <c r="F81" s="412"/>
      <c r="G81" s="412"/>
      <c r="H81" s="1">
        <f t="shared" si="1"/>
        <v>65</v>
      </c>
    </row>
    <row r="82" spans="1:8">
      <c r="A82" s="412" t="str">
        <f>IF(Data!$D9="",",","    "&amp;Data!$P9&amp;";")</f>
        <v>,</v>
      </c>
      <c r="B82" s="412" t="str">
        <f>IF(Data!$D9="",""," ! Visible Absorptance")</f>
        <v/>
      </c>
      <c r="C82" s="412"/>
      <c r="F82" s="412"/>
      <c r="G82" s="412"/>
      <c r="H82" s="1">
        <f t="shared" si="1"/>
        <v>66</v>
      </c>
    </row>
    <row r="83" spans="1:8">
      <c r="A83" s="412"/>
      <c r="B83" s="412"/>
      <c r="C83" s="412"/>
      <c r="F83" s="412"/>
      <c r="G83" s="412"/>
      <c r="H83" s="1">
        <f t="shared" ref="H83:H119" si="2">H82+1</f>
        <v>67</v>
      </c>
    </row>
    <row r="84" spans="1:8">
      <c r="A84" s="412" t="str">
        <f>IF(Data!$D10="","","Material,")</f>
        <v/>
      </c>
      <c r="B84" s="412" t="str">
        <f>IF(Data!$D10="",""," ! User material def'n from MATERIALS spreadsheet,")</f>
        <v/>
      </c>
      <c r="C84" s="412"/>
      <c r="F84" s="412"/>
      <c r="G84" s="412"/>
      <c r="H84" s="1">
        <f t="shared" si="2"/>
        <v>68</v>
      </c>
    </row>
    <row r="85" spans="1:8">
      <c r="A85" s="412" t="str">
        <f>IF(Data!$D10="","","    Matl "&amp;Data!$C10&amp;" "&amp;Data!$D10&amp;",")</f>
        <v/>
      </c>
      <c r="B85" s="412" t="str">
        <f>IF(Data!$D10="",""," ! under # ser material def'n from MATERIALS spreadsheet,")</f>
        <v/>
      </c>
      <c r="C85" s="412"/>
      <c r="F85" s="412"/>
      <c r="G85" s="412"/>
      <c r="H85" s="1">
        <f t="shared" si="2"/>
        <v>69</v>
      </c>
    </row>
    <row r="86" spans="1:8">
      <c r="A86" s="412" t="str">
        <f>IF(Data!$D10="",",","    "&amp;Data!$I10&amp;",")</f>
        <v>,</v>
      </c>
      <c r="B86" s="412" t="str">
        <f>IF(Data!$D10="",""," ! Roughness")</f>
        <v/>
      </c>
      <c r="C86" s="412"/>
      <c r="F86" s="412"/>
      <c r="G86" s="412"/>
      <c r="H86" s="1">
        <f t="shared" si="2"/>
        <v>70</v>
      </c>
    </row>
    <row r="87" spans="1:8">
      <c r="A87" s="412" t="str">
        <f>IF(Data!$D10="",",","    "&amp;Data!$J10/1000&amp;",")</f>
        <v>,</v>
      </c>
      <c r="B87" s="412" t="str">
        <f>IF(Data!$D10="",""," ! Thickness (m)")</f>
        <v/>
      </c>
      <c r="C87" s="412"/>
      <c r="F87" s="412"/>
      <c r="G87" s="412"/>
      <c r="H87" s="1">
        <f t="shared" si="2"/>
        <v>71</v>
      </c>
    </row>
    <row r="88" spans="1:8">
      <c r="A88" s="412" t="str">
        <f>IF(Data!$D10="",",","    "&amp;Data!$K10&amp;",")</f>
        <v>,</v>
      </c>
      <c r="B88" s="412" t="str">
        <f>IF(Data!$D10="",""," ! Conductivity (W/m-K)")</f>
        <v/>
      </c>
      <c r="C88" s="412"/>
      <c r="F88" s="412"/>
      <c r="G88" s="412"/>
      <c r="H88" s="1">
        <f t="shared" si="2"/>
        <v>72</v>
      </c>
    </row>
    <row r="89" spans="1:8">
      <c r="A89" s="412" t="str">
        <f>IF(Data!$D10="",",","    "&amp;Data!$L10&amp;",")</f>
        <v>,</v>
      </c>
      <c r="B89" s="412" t="str">
        <f>IF(Data!$D10="",""," ! Density kg/m3")</f>
        <v/>
      </c>
      <c r="C89" s="412"/>
      <c r="F89" s="412"/>
      <c r="G89" s="412"/>
      <c r="H89" s="1">
        <f t="shared" si="2"/>
        <v>73</v>
      </c>
    </row>
    <row r="90" spans="1:8">
      <c r="A90" s="412" t="str">
        <f>IF(Data!$D10="",",","    "&amp;Data!$M10&amp;",")</f>
        <v>,</v>
      </c>
      <c r="B90" s="412" t="str">
        <f>IF(Data!$D10="",""," ! Specific Heat (J/kg-K)")</f>
        <v/>
      </c>
      <c r="C90" s="412"/>
      <c r="F90" s="412"/>
      <c r="G90" s="412"/>
      <c r="H90" s="1">
        <f t="shared" si="2"/>
        <v>74</v>
      </c>
    </row>
    <row r="91" spans="1:8">
      <c r="A91" s="412" t="str">
        <f>IF(Data!$D10="",",","    "&amp;Data!$N10&amp;",")</f>
        <v>,</v>
      </c>
      <c r="B91" s="412" t="str">
        <f>IF(Data!$D10="",""," ! Thermal Absorptance")</f>
        <v/>
      </c>
      <c r="C91" s="412"/>
      <c r="F91" s="412"/>
      <c r="G91" s="412"/>
      <c r="H91" s="1">
        <f t="shared" si="2"/>
        <v>75</v>
      </c>
    </row>
    <row r="92" spans="1:8">
      <c r="A92" s="412" t="str">
        <f>IF(Data!$D10="",",","    "&amp;Data!$O10&amp;",")</f>
        <v>,</v>
      </c>
      <c r="B92" s="412" t="str">
        <f>IF(Data!$D10="",""," ! Solar Absorptance")</f>
        <v/>
      </c>
      <c r="C92" s="412"/>
      <c r="F92" s="412"/>
      <c r="G92" s="412"/>
      <c r="H92" s="1">
        <f t="shared" si="2"/>
        <v>76</v>
      </c>
    </row>
    <row r="93" spans="1:8">
      <c r="A93" s="412" t="str">
        <f>IF(Data!$D10="",",","    "&amp;Data!$P10&amp;";")</f>
        <v>,</v>
      </c>
      <c r="B93" s="412" t="str">
        <f>IF(Data!$D10="",""," ! Visible Absorptance")</f>
        <v/>
      </c>
      <c r="C93" s="412"/>
      <c r="F93" s="412"/>
      <c r="G93" s="412"/>
      <c r="H93" s="1">
        <f t="shared" si="2"/>
        <v>77</v>
      </c>
    </row>
    <row r="94" spans="1:8">
      <c r="A94" s="412"/>
      <c r="B94" s="412"/>
      <c r="C94" s="412"/>
      <c r="F94" s="412"/>
      <c r="G94" s="412"/>
      <c r="H94" s="1">
        <f t="shared" si="2"/>
        <v>78</v>
      </c>
    </row>
    <row r="95" spans="1:8">
      <c r="A95" s="412" t="str">
        <f>IF(Data!$D11="","","Material,")</f>
        <v/>
      </c>
      <c r="B95" s="412" t="str">
        <f>IF(Data!$D11="",""," ! User material def'n from MATERIALS spreadsheet,")</f>
        <v/>
      </c>
      <c r="C95" s="412"/>
      <c r="F95" s="412"/>
      <c r="G95" s="412"/>
      <c r="H95" s="1">
        <f t="shared" si="2"/>
        <v>79</v>
      </c>
    </row>
    <row r="96" spans="1:8">
      <c r="A96" s="412" t="str">
        <f>IF(Data!$D11="","","    Matl "&amp;Data!$C11&amp;" "&amp;Data!$D11&amp;",")</f>
        <v/>
      </c>
      <c r="B96" s="412" t="str">
        <f>IF(Data!$D11="",""," ! under # ser material def'n from MATERIALS spreadsheet,")</f>
        <v/>
      </c>
      <c r="C96" s="412"/>
      <c r="F96" s="412"/>
      <c r="G96" s="412"/>
      <c r="H96" s="1">
        <f t="shared" si="2"/>
        <v>80</v>
      </c>
    </row>
    <row r="97" spans="1:8">
      <c r="A97" s="412" t="str">
        <f>IF(Data!$D11="",",","    "&amp;Data!$I11&amp;",")</f>
        <v>,</v>
      </c>
      <c r="B97" s="412" t="str">
        <f>IF(Data!$D11="",""," ! Roughness")</f>
        <v/>
      </c>
      <c r="C97" s="412"/>
      <c r="F97" s="412"/>
      <c r="G97" s="412"/>
      <c r="H97" s="1">
        <f t="shared" si="2"/>
        <v>81</v>
      </c>
    </row>
    <row r="98" spans="1:8">
      <c r="A98" s="412" t="str">
        <f>IF(Data!$D11="",",","    "&amp;Data!$J11/1000&amp;",")</f>
        <v>,</v>
      </c>
      <c r="B98" s="412" t="str">
        <f>IF(Data!$D11="",""," ! Thickness (m)")</f>
        <v/>
      </c>
      <c r="C98" s="412"/>
      <c r="F98" s="412"/>
      <c r="G98" s="412"/>
      <c r="H98" s="1">
        <f t="shared" si="2"/>
        <v>82</v>
      </c>
    </row>
    <row r="99" spans="1:8">
      <c r="A99" s="412" t="str">
        <f>IF(Data!$D11="",",","    "&amp;Data!$K11&amp;",")</f>
        <v>,</v>
      </c>
      <c r="B99" s="412" t="str">
        <f>IF(Data!$D11="",""," ! Conductivity (W/m-K)")</f>
        <v/>
      </c>
      <c r="C99" s="412"/>
      <c r="F99" s="412"/>
      <c r="G99" s="412"/>
      <c r="H99" s="1">
        <f t="shared" si="2"/>
        <v>83</v>
      </c>
    </row>
    <row r="100" spans="1:8">
      <c r="A100" s="412" t="str">
        <f>IF(Data!$D11="",",","    "&amp;Data!$L11&amp;",")</f>
        <v>,</v>
      </c>
      <c r="B100" s="412" t="str">
        <f>IF(Data!$D11="",""," ! Density kg/m3")</f>
        <v/>
      </c>
      <c r="C100" s="412"/>
      <c r="F100" s="412"/>
      <c r="G100" s="412"/>
      <c r="H100" s="1">
        <f t="shared" si="2"/>
        <v>84</v>
      </c>
    </row>
    <row r="101" spans="1:8">
      <c r="A101" s="412" t="str">
        <f>IF(Data!$D11="",",","    "&amp;Data!$M11&amp;",")</f>
        <v>,</v>
      </c>
      <c r="B101" s="412" t="str">
        <f>IF(Data!$D11="",""," ! Specific Heat (J/kg-K)")</f>
        <v/>
      </c>
      <c r="C101" s="412"/>
      <c r="F101" s="412"/>
      <c r="G101" s="412"/>
      <c r="H101" s="1">
        <f t="shared" si="2"/>
        <v>85</v>
      </c>
    </row>
    <row r="102" spans="1:8">
      <c r="A102" s="412" t="str">
        <f>IF(Data!$D11="",",","    "&amp;Data!$N11&amp;",")</f>
        <v>,</v>
      </c>
      <c r="B102" s="412" t="str">
        <f>IF(Data!$D11="",""," ! Thermal Absorptance")</f>
        <v/>
      </c>
      <c r="C102" s="412"/>
      <c r="F102" s="412"/>
      <c r="G102" s="412"/>
      <c r="H102" s="1">
        <f t="shared" si="2"/>
        <v>86</v>
      </c>
    </row>
    <row r="103" spans="1:8">
      <c r="A103" s="412" t="str">
        <f>IF(Data!$D11="",",","    "&amp;Data!$O11&amp;",")</f>
        <v>,</v>
      </c>
      <c r="B103" s="412" t="str">
        <f>IF(Data!$D11="",""," ! Solar Absorptance")</f>
        <v/>
      </c>
      <c r="C103" s="412"/>
      <c r="F103" s="412"/>
      <c r="G103" s="412"/>
      <c r="H103" s="1">
        <f t="shared" si="2"/>
        <v>87</v>
      </c>
    </row>
    <row r="104" spans="1:8">
      <c r="A104" s="412" t="str">
        <f>IF(Data!$D11="",",","    "&amp;Data!$P11&amp;";")</f>
        <v>,</v>
      </c>
      <c r="B104" s="412" t="str">
        <f>IF(Data!$D11="",""," ! Visible Absorptance")</f>
        <v/>
      </c>
      <c r="C104" s="412"/>
      <c r="F104" s="412"/>
      <c r="G104" s="412"/>
      <c r="H104" s="1">
        <f t="shared" si="2"/>
        <v>88</v>
      </c>
    </row>
    <row r="105" spans="1:8">
      <c r="A105" s="412"/>
      <c r="B105" s="412"/>
      <c r="C105" s="412"/>
      <c r="F105" s="412"/>
      <c r="G105" s="412"/>
      <c r="H105" s="1">
        <f t="shared" si="2"/>
        <v>89</v>
      </c>
    </row>
    <row r="106" spans="1:8">
      <c r="A106" s="412" t="str">
        <f>IF(Data!$D12="","","Material,")</f>
        <v/>
      </c>
      <c r="B106" s="412" t="str">
        <f>IF(Data!$D12="",""," ! User material def'n from MATERIALS spreadsheet,")</f>
        <v/>
      </c>
      <c r="C106" s="412"/>
      <c r="F106" s="412"/>
      <c r="G106" s="412"/>
      <c r="H106" s="1">
        <f t="shared" si="2"/>
        <v>90</v>
      </c>
    </row>
    <row r="107" spans="1:8">
      <c r="A107" s="412" t="str">
        <f>IF(Data!$D12="","","    Matl "&amp;Data!$C12&amp;" "&amp;Data!$D12&amp;",")</f>
        <v/>
      </c>
      <c r="B107" s="412" t="str">
        <f>IF(Data!$D12="",""," ! under # ser material def'n from MATERIALS spreadsheet,")</f>
        <v/>
      </c>
      <c r="C107" s="412"/>
      <c r="F107" s="412"/>
      <c r="G107" s="412"/>
      <c r="H107" s="1">
        <f t="shared" si="2"/>
        <v>91</v>
      </c>
    </row>
    <row r="108" spans="1:8">
      <c r="A108" s="412" t="str">
        <f>IF(Data!$D12="",",","    "&amp;Data!$I12&amp;",")</f>
        <v>,</v>
      </c>
      <c r="B108" s="412" t="str">
        <f>IF(Data!$D12="",""," ! Roughness")</f>
        <v/>
      </c>
      <c r="C108" s="412"/>
      <c r="F108" s="412"/>
      <c r="G108" s="412"/>
      <c r="H108" s="1">
        <f t="shared" si="2"/>
        <v>92</v>
      </c>
    </row>
    <row r="109" spans="1:8">
      <c r="A109" s="412" t="str">
        <f>IF(Data!$D12="",",","    "&amp;Data!$J12/1000&amp;",")</f>
        <v>,</v>
      </c>
      <c r="B109" s="412" t="str">
        <f>IF(Data!$D12="",""," ! Thickness (m)")</f>
        <v/>
      </c>
      <c r="C109" s="412"/>
      <c r="F109" s="412"/>
      <c r="G109" s="412"/>
      <c r="H109" s="1">
        <f t="shared" si="2"/>
        <v>93</v>
      </c>
    </row>
    <row r="110" spans="1:8">
      <c r="A110" s="412" t="str">
        <f>IF(Data!$D12="",",","    "&amp;Data!$K12&amp;",")</f>
        <v>,</v>
      </c>
      <c r="B110" s="412" t="str">
        <f>IF(Data!$D12="",""," ! Conductivity (W/m-K)")</f>
        <v/>
      </c>
      <c r="C110" s="412"/>
      <c r="F110" s="412"/>
      <c r="G110" s="412"/>
      <c r="H110" s="1">
        <f t="shared" si="2"/>
        <v>94</v>
      </c>
    </row>
    <row r="111" spans="1:8">
      <c r="A111" s="412" t="str">
        <f>IF(Data!$D12="",",","    "&amp;Data!$L12&amp;",")</f>
        <v>,</v>
      </c>
      <c r="B111" s="412" t="str">
        <f>IF(Data!$D12="",""," ! Density kg/m3")</f>
        <v/>
      </c>
      <c r="C111" s="412"/>
      <c r="F111" s="412"/>
      <c r="G111" s="412"/>
      <c r="H111" s="1">
        <f t="shared" si="2"/>
        <v>95</v>
      </c>
    </row>
    <row r="112" spans="1:8">
      <c r="A112" s="412" t="str">
        <f>IF(Data!$D12="",",","    "&amp;Data!$M12&amp;",")</f>
        <v>,</v>
      </c>
      <c r="B112" s="412" t="str">
        <f>IF(Data!$D12="",""," ! Specific Heat (J/kg-K)")</f>
        <v/>
      </c>
      <c r="C112" s="412"/>
      <c r="F112" s="412"/>
      <c r="G112" s="412"/>
      <c r="H112" s="1">
        <f t="shared" si="2"/>
        <v>96</v>
      </c>
    </row>
    <row r="113" spans="1:8">
      <c r="A113" s="412" t="str">
        <f>IF(Data!$D12="",",","    "&amp;Data!$N12&amp;",")</f>
        <v>,</v>
      </c>
      <c r="B113" s="412" t="str">
        <f>IF(Data!$D12="",""," ! Thermal Absorptance")</f>
        <v/>
      </c>
      <c r="C113" s="412"/>
      <c r="F113" s="412"/>
      <c r="G113" s="412"/>
      <c r="H113" s="1">
        <f t="shared" si="2"/>
        <v>97</v>
      </c>
    </row>
    <row r="114" spans="1:8">
      <c r="A114" s="412" t="str">
        <f>IF(Data!$D12="",",","    "&amp;Data!$O12&amp;",")</f>
        <v>,</v>
      </c>
      <c r="B114" s="412" t="str">
        <f>IF(Data!$D12="",""," ! Solar Absorptance")</f>
        <v/>
      </c>
      <c r="C114" s="412"/>
      <c r="F114" s="412"/>
      <c r="G114" s="412"/>
      <c r="H114" s="1">
        <f t="shared" si="2"/>
        <v>98</v>
      </c>
    </row>
    <row r="115" spans="1:8">
      <c r="A115" s="412" t="str">
        <f>IF(Data!$D12="",",","    "&amp;Data!$P12&amp;";")</f>
        <v>,</v>
      </c>
      <c r="B115" s="412" t="str">
        <f>IF(Data!$D12="",""," ! Visible Absorptance")</f>
        <v/>
      </c>
      <c r="C115" s="412"/>
      <c r="F115" s="412"/>
      <c r="G115" s="412"/>
      <c r="H115" s="1">
        <f t="shared" si="2"/>
        <v>99</v>
      </c>
    </row>
    <row r="116" spans="1:8">
      <c r="A116" s="412"/>
      <c r="B116" s="412"/>
      <c r="C116" s="412"/>
      <c r="F116" s="412"/>
      <c r="G116" s="412"/>
      <c r="H116" s="1">
        <f t="shared" si="2"/>
        <v>100</v>
      </c>
    </row>
    <row r="117" spans="1:8">
      <c r="A117" s="412" t="str">
        <f>IF(Data!$D13="","","Material,")</f>
        <v/>
      </c>
      <c r="B117" s="412" t="str">
        <f>IF(Data!$D13="",""," ! User material def'n from MATERIALS spreadsheet,")</f>
        <v/>
      </c>
      <c r="C117" s="412"/>
      <c r="F117" s="412"/>
      <c r="G117" s="412"/>
      <c r="H117" s="1">
        <f t="shared" si="2"/>
        <v>101</v>
      </c>
    </row>
    <row r="118" spans="1:8">
      <c r="A118" s="412" t="str">
        <f>IF(Data!$D13="","","    Matl "&amp;Data!$C13&amp;" "&amp;Data!$D13&amp;",")</f>
        <v/>
      </c>
      <c r="B118" s="412" t="str">
        <f>IF(Data!$D13="",""," ! under # ser material def'n from MATERIALS spreadsheet,")</f>
        <v/>
      </c>
      <c r="C118" s="412"/>
      <c r="F118" s="412"/>
      <c r="G118" s="412"/>
      <c r="H118" s="1">
        <f t="shared" si="2"/>
        <v>102</v>
      </c>
    </row>
    <row r="119" spans="1:8">
      <c r="A119" s="412" t="str">
        <f>IF(Data!$D13="",",","    "&amp;Data!$I13&amp;",")</f>
        <v>,</v>
      </c>
      <c r="B119" s="412" t="str">
        <f>IF(Data!$D13="",""," ! Roughness")</f>
        <v/>
      </c>
      <c r="C119" s="412"/>
      <c r="F119" s="412"/>
      <c r="G119" s="412"/>
      <c r="H119" s="1">
        <f t="shared" si="2"/>
        <v>103</v>
      </c>
    </row>
    <row r="120" spans="1:8">
      <c r="A120" s="412" t="str">
        <f>IF(Data!$D13="",",","    "&amp;Data!$J13/1000&amp;",")</f>
        <v>,</v>
      </c>
      <c r="B120" s="412" t="str">
        <f>IF(Data!$D13="",""," ! Thickness (m)")</f>
        <v/>
      </c>
      <c r="C120" s="412"/>
      <c r="F120" s="412"/>
      <c r="G120" s="412"/>
    </row>
    <row r="121" spans="1:8">
      <c r="A121" s="412" t="str">
        <f>IF(Data!$D13="",",","    "&amp;Data!$K13&amp;",")</f>
        <v>,</v>
      </c>
      <c r="B121" s="412" t="str">
        <f>IF(Data!$D13="",""," ! Conductivity (W/m-K)")</f>
        <v/>
      </c>
      <c r="C121" s="412"/>
      <c r="F121" s="412"/>
      <c r="G121" s="412"/>
    </row>
    <row r="122" spans="1:8">
      <c r="A122" s="412" t="str">
        <f>IF(Data!$D13="",",","    "&amp;Data!$L13&amp;",")</f>
        <v>,</v>
      </c>
      <c r="B122" s="412" t="str">
        <f>IF(Data!$D13="",""," ! Density kg/m3")</f>
        <v/>
      </c>
      <c r="C122" s="412"/>
      <c r="F122" s="412"/>
      <c r="G122" s="412"/>
    </row>
    <row r="123" spans="1:8">
      <c r="A123" s="412" t="str">
        <f>IF(Data!$D13="",",","    "&amp;Data!$M13&amp;",")</f>
        <v>,</v>
      </c>
      <c r="B123" s="412" t="str">
        <f>IF(Data!$D13="",""," ! Specific Heat (J/kg-K)")</f>
        <v/>
      </c>
      <c r="C123" s="412"/>
      <c r="F123" s="412"/>
      <c r="G123" s="412"/>
    </row>
    <row r="124" spans="1:8">
      <c r="A124" s="412" t="str">
        <f>IF(Data!$D13="",",","    "&amp;Data!$N13&amp;",")</f>
        <v>,</v>
      </c>
      <c r="B124" s="412" t="str">
        <f>IF(Data!$D13="",""," ! Thermal Absorptance")</f>
        <v/>
      </c>
      <c r="C124" s="412"/>
      <c r="F124" s="412"/>
      <c r="G124" s="412"/>
    </row>
    <row r="125" spans="1:8">
      <c r="A125" s="412" t="str">
        <f>IF(Data!$D13="",",","    "&amp;Data!$O13&amp;",")</f>
        <v>,</v>
      </c>
      <c r="B125" s="412" t="str">
        <f>IF(Data!$D13="",""," ! Solar Absorptance")</f>
        <v/>
      </c>
      <c r="C125" s="412"/>
      <c r="F125" s="412"/>
      <c r="G125" s="412"/>
    </row>
    <row r="126" spans="1:8">
      <c r="A126" s="412" t="str">
        <f>IF(Data!$D13="",",","    "&amp;Data!$P13&amp;";")</f>
        <v>,</v>
      </c>
      <c r="B126" s="412" t="str">
        <f>IF(Data!$D13="",""," ! Visible Absorptance")</f>
        <v/>
      </c>
      <c r="C126" s="412"/>
      <c r="F126" s="412"/>
      <c r="G126" s="412"/>
    </row>
    <row r="127" spans="1:8">
      <c r="A127" s="412"/>
      <c r="B127" s="412"/>
      <c r="C127" s="412"/>
      <c r="F127" s="412"/>
      <c r="G127" s="412"/>
    </row>
    <row r="128" spans="1:8">
      <c r="A128" s="412" t="str">
        <f>IF(Data!$D14="","","Material,")</f>
        <v/>
      </c>
      <c r="B128" s="412" t="str">
        <f>IF(Data!$D14="",""," ! User material def'n from MATERIALS spreadsheet,")</f>
        <v/>
      </c>
      <c r="C128" s="412"/>
      <c r="F128" s="412"/>
      <c r="G128" s="412"/>
    </row>
    <row r="129" spans="1:7">
      <c r="A129" s="412" t="str">
        <f>IF(Data!$D14="","","    Matl "&amp;Data!$C14&amp;" "&amp;Data!$D14&amp;",")</f>
        <v/>
      </c>
      <c r="B129" s="412" t="str">
        <f>IF(Data!$D14="",""," ! under # ser material def'n from MATERIALS spreadsheet,")</f>
        <v/>
      </c>
      <c r="C129" s="412"/>
      <c r="F129" s="412"/>
      <c r="G129" s="412"/>
    </row>
    <row r="130" spans="1:7">
      <c r="A130" s="412" t="str">
        <f>IF(Data!$D14="",",","    "&amp;Data!$I14&amp;",")</f>
        <v>,</v>
      </c>
      <c r="B130" s="412" t="str">
        <f>IF(Data!$D14="",""," ! Roughness")</f>
        <v/>
      </c>
      <c r="C130" s="412"/>
      <c r="F130" s="412"/>
      <c r="G130" s="412"/>
    </row>
    <row r="131" spans="1:7">
      <c r="A131" s="412" t="str">
        <f>IF(Data!$D14="",",","    "&amp;Data!$J14/1000&amp;",")</f>
        <v>,</v>
      </c>
      <c r="B131" s="412" t="str">
        <f>IF(Data!$D14="",""," ! Thickness (m)")</f>
        <v/>
      </c>
      <c r="C131" s="412"/>
      <c r="F131" s="412"/>
      <c r="G131" s="412"/>
    </row>
    <row r="132" spans="1:7">
      <c r="A132" s="412" t="str">
        <f>IF(Data!$D14="",",","    "&amp;Data!$K14&amp;",")</f>
        <v>,</v>
      </c>
      <c r="B132" s="412" t="str">
        <f>IF(Data!$D14="",""," ! Conductivity (W/m-K)")</f>
        <v/>
      </c>
      <c r="C132" s="412"/>
      <c r="F132" s="412"/>
      <c r="G132" s="412"/>
    </row>
    <row r="133" spans="1:7">
      <c r="A133" s="412" t="str">
        <f>IF(Data!$D14="",",","    "&amp;Data!$L14&amp;",")</f>
        <v>,</v>
      </c>
      <c r="B133" s="412" t="str">
        <f>IF(Data!$D14="",""," ! Density kg/m3")</f>
        <v/>
      </c>
      <c r="C133" s="412"/>
      <c r="F133" s="412"/>
      <c r="G133" s="412"/>
    </row>
    <row r="134" spans="1:7">
      <c r="A134" s="412" t="str">
        <f>IF(Data!$D14="",",","    "&amp;Data!$M14&amp;",")</f>
        <v>,</v>
      </c>
      <c r="B134" s="412" t="str">
        <f>IF(Data!$D14="",""," ! Specific Heat (J/kg-K)")</f>
        <v/>
      </c>
      <c r="C134" s="412"/>
      <c r="F134" s="412"/>
      <c r="G134" s="412"/>
    </row>
    <row r="135" spans="1:7">
      <c r="A135" s="412" t="str">
        <f>IF(Data!$D14="",",","    "&amp;Data!$N14&amp;",")</f>
        <v>,</v>
      </c>
      <c r="B135" s="412" t="str">
        <f>IF(Data!$D14="",""," ! Thermal Absorptance")</f>
        <v/>
      </c>
      <c r="C135" s="412"/>
      <c r="F135" s="412"/>
      <c r="G135" s="412"/>
    </row>
    <row r="136" spans="1:7">
      <c r="A136" s="412" t="str">
        <f>IF(Data!$D14="",",","    "&amp;Data!$O14&amp;",")</f>
        <v>,</v>
      </c>
      <c r="B136" s="412" t="str">
        <f>IF(Data!$D14="",""," ! Solar Absorptance")</f>
        <v/>
      </c>
      <c r="C136" s="412"/>
      <c r="F136" s="412"/>
      <c r="G136" s="412"/>
    </row>
    <row r="137" spans="1:7">
      <c r="A137" s="412" t="str">
        <f>IF(Data!$D14="",",","    "&amp;Data!$P14&amp;";")</f>
        <v>,</v>
      </c>
      <c r="B137" s="412" t="str">
        <f>IF(Data!$D14="",""," ! Visible Absorptance")</f>
        <v/>
      </c>
      <c r="C137" s="412"/>
      <c r="F137" s="412"/>
      <c r="G137" s="412"/>
    </row>
    <row r="138" spans="1:7">
      <c r="A138" s="412"/>
      <c r="B138" s="412"/>
      <c r="C138" s="412"/>
      <c r="F138" s="412"/>
      <c r="G138" s="412"/>
    </row>
    <row r="139" spans="1:7">
      <c r="A139" s="412" t="str">
        <f>IF(Data!$D15="","","Material,")</f>
        <v/>
      </c>
      <c r="B139" s="412" t="str">
        <f>IF(Data!$D15="",""," ! User material def'n from MATERIALS spreadsheet,")</f>
        <v/>
      </c>
      <c r="C139" s="412"/>
      <c r="F139" s="412"/>
      <c r="G139" s="412"/>
    </row>
    <row r="140" spans="1:7">
      <c r="A140" s="412" t="str">
        <f>IF(Data!$D15="","","    Matl "&amp;Data!$C15&amp;" "&amp;Data!$D15&amp;",")</f>
        <v/>
      </c>
      <c r="B140" s="412" t="str">
        <f>IF(Data!$D15="",""," ! under # ser material def'n from MATERIALS spreadsheet,")</f>
        <v/>
      </c>
      <c r="C140" s="412"/>
      <c r="F140" s="412"/>
      <c r="G140" s="412"/>
    </row>
    <row r="141" spans="1:7">
      <c r="A141" s="412" t="str">
        <f>IF(Data!$D15="",",","    "&amp;Data!$I15&amp;",")</f>
        <v>,</v>
      </c>
      <c r="B141" s="412" t="str">
        <f>IF(Data!$D15="",""," ! Roughness")</f>
        <v/>
      </c>
      <c r="C141" s="412"/>
      <c r="F141" s="412"/>
      <c r="G141" s="412"/>
    </row>
    <row r="142" spans="1:7">
      <c r="A142" s="412" t="str">
        <f>IF(Data!$D15="",",","    "&amp;Data!$J15/1000&amp;",")</f>
        <v>,</v>
      </c>
      <c r="B142" s="412" t="str">
        <f>IF(Data!$D15="",""," ! Thickness (m)")</f>
        <v/>
      </c>
      <c r="C142" s="412"/>
      <c r="F142" s="412"/>
      <c r="G142" s="412"/>
    </row>
    <row r="143" spans="1:7">
      <c r="A143" s="412" t="str">
        <f>IF(Data!$D15="",",","    "&amp;Data!$K15&amp;",")</f>
        <v>,</v>
      </c>
      <c r="B143" s="412" t="str">
        <f>IF(Data!$D15="",""," ! Conductivity (W/m-K)")</f>
        <v/>
      </c>
      <c r="C143" s="412"/>
      <c r="F143" s="412"/>
      <c r="G143" s="412"/>
    </row>
    <row r="144" spans="1:7">
      <c r="A144" s="412" t="str">
        <f>IF(Data!$D15="",",","    "&amp;Data!$L15&amp;",")</f>
        <v>,</v>
      </c>
      <c r="B144" s="412" t="str">
        <f>IF(Data!$D15="",""," ! Density kg/m3")</f>
        <v/>
      </c>
      <c r="C144" s="412"/>
      <c r="F144" s="412"/>
      <c r="G144" s="412"/>
    </row>
    <row r="145" spans="1:7">
      <c r="A145" s="412" t="str">
        <f>IF(Data!$D15="",",","    "&amp;Data!$M15&amp;",")</f>
        <v>,</v>
      </c>
      <c r="B145" s="412" t="str">
        <f>IF(Data!$D15="",""," ! Specific Heat (J/kg-K)")</f>
        <v/>
      </c>
      <c r="C145" s="412"/>
      <c r="F145" s="412"/>
      <c r="G145" s="412"/>
    </row>
    <row r="146" spans="1:7">
      <c r="A146" s="412" t="str">
        <f>IF(Data!$D15="",",","    "&amp;Data!$N15&amp;",")</f>
        <v>,</v>
      </c>
      <c r="B146" s="412" t="str">
        <f>IF(Data!$D15="",""," ! Thermal Absorptance")</f>
        <v/>
      </c>
      <c r="C146" s="412"/>
      <c r="F146" s="412"/>
      <c r="G146" s="412"/>
    </row>
    <row r="147" spans="1:7">
      <c r="A147" s="412" t="str">
        <f>IF(Data!$D15="",",","    "&amp;Data!$O15&amp;",")</f>
        <v>,</v>
      </c>
      <c r="B147" s="412" t="str">
        <f>IF(Data!$D15="",""," ! Solar Absorptance")</f>
        <v/>
      </c>
      <c r="C147" s="412"/>
      <c r="F147" s="412"/>
      <c r="G147" s="412"/>
    </row>
    <row r="148" spans="1:7">
      <c r="A148" s="412" t="str">
        <f>IF(Data!$D15="",",","    "&amp;Data!$P15&amp;";")</f>
        <v>,</v>
      </c>
      <c r="B148" s="412" t="str">
        <f>IF(Data!$D15="",""," ! Visible Absorptance")</f>
        <v/>
      </c>
      <c r="C148" s="412"/>
      <c r="F148" s="412"/>
      <c r="G148" s="412"/>
    </row>
    <row r="149" spans="1:7">
      <c r="A149" s="412"/>
      <c r="B149" s="412"/>
      <c r="C149" s="412"/>
      <c r="F149" s="412"/>
      <c r="G149" s="412"/>
    </row>
    <row r="150" spans="1:7">
      <c r="A150" s="412" t="str">
        <f>IF(Data!$D16="","","Material,")</f>
        <v/>
      </c>
      <c r="B150" s="412" t="str">
        <f>IF(Data!$D16="",""," ! User material def'n from MATERIALS spreadsheet,")</f>
        <v/>
      </c>
      <c r="C150" s="412"/>
      <c r="F150" s="412"/>
      <c r="G150" s="412"/>
    </row>
    <row r="151" spans="1:7">
      <c r="A151" s="412" t="str">
        <f>IF(Data!$D16="","","    Matl "&amp;Data!$C16&amp;" "&amp;Data!$D16&amp;",")</f>
        <v/>
      </c>
      <c r="B151" s="412" t="str">
        <f>IF(Data!$D16="",""," ! under # ser material def'n from MATERIALS spreadsheet,")</f>
        <v/>
      </c>
      <c r="C151" s="412"/>
      <c r="F151" s="412"/>
      <c r="G151" s="412"/>
    </row>
    <row r="152" spans="1:7">
      <c r="A152" s="412" t="str">
        <f>IF(Data!$D16="",",","    "&amp;Data!$I16&amp;",")</f>
        <v>,</v>
      </c>
      <c r="B152" s="412" t="str">
        <f>IF(Data!$D16="",""," ! Roughness")</f>
        <v/>
      </c>
      <c r="C152" s="412"/>
      <c r="F152" s="412"/>
      <c r="G152" s="412"/>
    </row>
    <row r="153" spans="1:7">
      <c r="A153" s="412" t="str">
        <f>IF(Data!$D16="",",","    "&amp;Data!$J16/1000&amp;",")</f>
        <v>,</v>
      </c>
      <c r="B153" s="412" t="str">
        <f>IF(Data!$D16="",""," ! Thickness (m)")</f>
        <v/>
      </c>
      <c r="C153" s="412"/>
      <c r="F153" s="412"/>
      <c r="G153" s="412"/>
    </row>
    <row r="154" spans="1:7">
      <c r="A154" s="412" t="str">
        <f>IF(Data!$D16="",",","    "&amp;Data!$K16&amp;",")</f>
        <v>,</v>
      </c>
      <c r="B154" s="412" t="str">
        <f>IF(Data!$D16="",""," ! Conductivity (W/m-K)")</f>
        <v/>
      </c>
      <c r="C154" s="412"/>
      <c r="F154" s="412"/>
      <c r="G154" s="412"/>
    </row>
    <row r="155" spans="1:7">
      <c r="A155" s="412" t="str">
        <f>IF(Data!$D16="",",","    "&amp;Data!$L16&amp;",")</f>
        <v>,</v>
      </c>
      <c r="B155" s="412" t="str">
        <f>IF(Data!$D16="",""," ! Density kg/m3")</f>
        <v/>
      </c>
      <c r="C155" s="412"/>
      <c r="F155" s="412"/>
      <c r="G155" s="412"/>
    </row>
    <row r="156" spans="1:7">
      <c r="A156" s="412" t="str">
        <f>IF(Data!$D16="",",","    "&amp;Data!$M16&amp;",")</f>
        <v>,</v>
      </c>
      <c r="B156" s="412" t="str">
        <f>IF(Data!$D16="",""," ! Specific Heat (J/kg-K)")</f>
        <v/>
      </c>
      <c r="C156" s="412"/>
      <c r="F156" s="412"/>
      <c r="G156" s="412"/>
    </row>
    <row r="157" spans="1:7">
      <c r="A157" s="412" t="str">
        <f>IF(Data!$D16="",",","    "&amp;Data!$N16&amp;",")</f>
        <v>,</v>
      </c>
      <c r="B157" s="412" t="str">
        <f>IF(Data!$D16="",""," ! Thermal Absorptance")</f>
        <v/>
      </c>
      <c r="C157" s="412"/>
      <c r="F157" s="412"/>
      <c r="G157" s="412"/>
    </row>
    <row r="158" spans="1:7">
      <c r="A158" s="412" t="str">
        <f>IF(Data!$D16="",",","    "&amp;Data!$O16&amp;",")</f>
        <v>,</v>
      </c>
      <c r="B158" s="412" t="str">
        <f>IF(Data!$D16="",""," ! Solar Absorptance")</f>
        <v/>
      </c>
      <c r="C158" s="412"/>
      <c r="F158" s="412"/>
      <c r="G158" s="412"/>
    </row>
    <row r="159" spans="1:7">
      <c r="A159" s="412" t="str">
        <f>IF(Data!$D16="",",","    "&amp;Data!$P16&amp;";")</f>
        <v>,</v>
      </c>
      <c r="B159" s="412" t="str">
        <f>IF(Data!$D16="",""," ! Visible Absorptance")</f>
        <v/>
      </c>
      <c r="C159" s="412"/>
      <c r="F159" s="412"/>
      <c r="G159" s="412"/>
    </row>
    <row r="160" spans="1:7">
      <c r="A160" s="412"/>
      <c r="B160" s="412"/>
      <c r="C160" s="412"/>
      <c r="F160" s="412"/>
      <c r="G160" s="412"/>
    </row>
    <row r="161" spans="1:7">
      <c r="A161" s="412" t="str">
        <f>IF(Data!$D17="","","Material,")</f>
        <v/>
      </c>
      <c r="B161" s="412" t="str">
        <f>IF(Data!$D17="",""," ! User material def'n from MATERIALS spreadsheet,")</f>
        <v/>
      </c>
      <c r="C161" s="412"/>
      <c r="F161" s="412"/>
      <c r="G161" s="412"/>
    </row>
    <row r="162" spans="1:7">
      <c r="A162" s="412" t="str">
        <f>IF(Data!$D17="","","    Matl "&amp;Data!$C17&amp;" "&amp;Data!$D17&amp;",")</f>
        <v/>
      </c>
      <c r="B162" s="412" t="str">
        <f>IF(Data!$D17="",""," ! under # ser material def'n from MATERIALS spreadsheet,")</f>
        <v/>
      </c>
      <c r="C162" s="412"/>
      <c r="F162" s="412"/>
      <c r="G162" s="412"/>
    </row>
    <row r="163" spans="1:7">
      <c r="A163" s="412" t="str">
        <f>IF(Data!$D17="",",","    "&amp;Data!$I17&amp;",")</f>
        <v>,</v>
      </c>
      <c r="B163" s="412" t="str">
        <f>IF(Data!$D17="",""," ! Roughness")</f>
        <v/>
      </c>
      <c r="C163" s="412"/>
      <c r="F163" s="412"/>
      <c r="G163" s="412"/>
    </row>
    <row r="164" spans="1:7">
      <c r="A164" s="412" t="str">
        <f>IF(Data!$D17="",",","    "&amp;Data!$J17/1000&amp;",")</f>
        <v>,</v>
      </c>
      <c r="B164" s="412" t="str">
        <f>IF(Data!$D17="",""," ! Thickness (m)")</f>
        <v/>
      </c>
      <c r="C164" s="412"/>
      <c r="F164" s="412"/>
      <c r="G164" s="412"/>
    </row>
    <row r="165" spans="1:7">
      <c r="A165" s="412" t="str">
        <f>IF(Data!$D17="",",","    "&amp;Data!$K17&amp;",")</f>
        <v>,</v>
      </c>
      <c r="B165" s="412" t="str">
        <f>IF(Data!$D17="",""," ! Conductivity (W/m-K)")</f>
        <v/>
      </c>
      <c r="C165" s="412"/>
      <c r="F165" s="412"/>
      <c r="G165" s="412"/>
    </row>
    <row r="166" spans="1:7">
      <c r="A166" s="412" t="str">
        <f>IF(Data!$D17="",",","    "&amp;Data!$L17&amp;",")</f>
        <v>,</v>
      </c>
      <c r="B166" s="412" t="str">
        <f>IF(Data!$D17="",""," ! Density kg/m3")</f>
        <v/>
      </c>
      <c r="C166" s="412"/>
      <c r="F166" s="412"/>
      <c r="G166" s="412"/>
    </row>
    <row r="167" spans="1:7">
      <c r="A167" s="412" t="str">
        <f>IF(Data!$D17="",",","    "&amp;Data!$M17&amp;",")</f>
        <v>,</v>
      </c>
      <c r="B167" s="412" t="str">
        <f>IF(Data!$D17="",""," ! Specific Heat (J/kg-K)")</f>
        <v/>
      </c>
      <c r="C167" s="412"/>
      <c r="F167" s="412"/>
      <c r="G167" s="412"/>
    </row>
    <row r="168" spans="1:7">
      <c r="A168" s="412" t="str">
        <f>IF(Data!$D17="",",","    "&amp;Data!$N17&amp;",")</f>
        <v>,</v>
      </c>
      <c r="B168" s="412" t="str">
        <f>IF(Data!$D17="",""," ! Thermal Absorptance")</f>
        <v/>
      </c>
      <c r="C168" s="412"/>
      <c r="F168" s="412"/>
      <c r="G168" s="412"/>
    </row>
    <row r="169" spans="1:7">
      <c r="A169" s="412" t="str">
        <f>IF(Data!$D17="",",","    "&amp;Data!$O17&amp;",")</f>
        <v>,</v>
      </c>
      <c r="B169" s="412" t="str">
        <f>IF(Data!$D17="",""," ! Solar Absorptance")</f>
        <v/>
      </c>
      <c r="C169" s="412"/>
      <c r="F169" s="412"/>
      <c r="G169" s="412"/>
    </row>
    <row r="170" spans="1:7">
      <c r="A170" s="412" t="str">
        <f>IF(Data!$D17="",",","    "&amp;Data!$P17&amp;";")</f>
        <v>,</v>
      </c>
      <c r="B170" s="412" t="str">
        <f>IF(Data!$D17="",""," ! Visible Absorptance")</f>
        <v/>
      </c>
      <c r="C170" s="412"/>
      <c r="F170" s="412"/>
      <c r="G170" s="412"/>
    </row>
    <row r="171" spans="1:7">
      <c r="A171" s="412"/>
      <c r="B171" s="412"/>
      <c r="C171" s="412"/>
      <c r="F171" s="412"/>
      <c r="G171" s="412"/>
    </row>
    <row r="172" spans="1:7">
      <c r="A172" s="412" t="str">
        <f>IF(Data!$D18="","","Material,")</f>
        <v/>
      </c>
      <c r="B172" s="412" t="str">
        <f>IF(Data!$D18="",""," ! User material def'n from MATERIALS spreadsheet,")</f>
        <v/>
      </c>
      <c r="C172" s="412"/>
      <c r="F172" s="412"/>
      <c r="G172" s="412"/>
    </row>
    <row r="173" spans="1:7">
      <c r="A173" s="412" t="str">
        <f>IF(Data!$D18="","","    Matl "&amp;Data!$C18&amp;" "&amp;Data!$D18&amp;",")</f>
        <v/>
      </c>
      <c r="B173" s="412" t="str">
        <f>IF(Data!$D18="",""," ! under # ser material def'n from MATERIALS spreadsheet,")</f>
        <v/>
      </c>
      <c r="C173" s="412"/>
      <c r="F173" s="412"/>
      <c r="G173" s="412"/>
    </row>
    <row r="174" spans="1:7">
      <c r="A174" s="412" t="str">
        <f>IF(Data!$D18="",",","    "&amp;Data!$I18&amp;",")</f>
        <v>,</v>
      </c>
      <c r="B174" s="412" t="str">
        <f>IF(Data!$D18="",""," ! Roughness")</f>
        <v/>
      </c>
      <c r="C174" s="412"/>
      <c r="F174" s="412"/>
      <c r="G174" s="412"/>
    </row>
    <row r="175" spans="1:7">
      <c r="A175" s="412" t="str">
        <f>IF(Data!$D18="",",","    "&amp;Data!$J18/1000&amp;",")</f>
        <v>,</v>
      </c>
      <c r="B175" s="412" t="str">
        <f>IF(Data!$D18="",""," ! Thickness (m)")</f>
        <v/>
      </c>
      <c r="C175" s="412"/>
      <c r="F175" s="412"/>
      <c r="G175" s="412"/>
    </row>
    <row r="176" spans="1:7">
      <c r="A176" s="412" t="str">
        <f>IF(Data!$D18="",",","    "&amp;Data!$K18&amp;",")</f>
        <v>,</v>
      </c>
      <c r="B176" s="412" t="str">
        <f>IF(Data!$D18="",""," ! Conductivity (W/m-K)")</f>
        <v/>
      </c>
      <c r="C176" s="412"/>
      <c r="F176" s="412"/>
      <c r="G176" s="412"/>
    </row>
    <row r="177" spans="1:7">
      <c r="A177" s="412" t="str">
        <f>IF(Data!$D18="",",","    "&amp;Data!$L18&amp;",")</f>
        <v>,</v>
      </c>
      <c r="B177" s="412" t="str">
        <f>IF(Data!$D18="",""," ! Density kg/m3")</f>
        <v/>
      </c>
      <c r="C177" s="412"/>
      <c r="F177" s="412"/>
      <c r="G177" s="412"/>
    </row>
    <row r="178" spans="1:7">
      <c r="A178" s="412" t="str">
        <f>IF(Data!$D18="",",","    "&amp;Data!$M18&amp;",")</f>
        <v>,</v>
      </c>
      <c r="B178" s="412" t="str">
        <f>IF(Data!$D18="",""," ! Specific Heat (J/kg-K)")</f>
        <v/>
      </c>
      <c r="C178" s="412"/>
      <c r="F178" s="412"/>
      <c r="G178" s="412"/>
    </row>
    <row r="179" spans="1:7">
      <c r="A179" s="412" t="str">
        <f>IF(Data!$D18="",",","    "&amp;Data!$N18&amp;",")</f>
        <v>,</v>
      </c>
      <c r="B179" s="412" t="str">
        <f>IF(Data!$D18="",""," ! Thermal Absorptance")</f>
        <v/>
      </c>
      <c r="C179" s="412"/>
      <c r="F179" s="412"/>
      <c r="G179" s="412"/>
    </row>
    <row r="180" spans="1:7">
      <c r="A180" s="412" t="str">
        <f>IF(Data!$D18="",",","    "&amp;Data!$O18&amp;",")</f>
        <v>,</v>
      </c>
      <c r="B180" s="412" t="str">
        <f>IF(Data!$D18="",""," ! Solar Absorptance")</f>
        <v/>
      </c>
      <c r="C180" s="412"/>
      <c r="F180" s="412"/>
      <c r="G180" s="412"/>
    </row>
    <row r="181" spans="1:7">
      <c r="A181" s="412" t="str">
        <f>IF(Data!$D18="",",","    "&amp;Data!$P18&amp;";")</f>
        <v>,</v>
      </c>
      <c r="B181" s="412" t="str">
        <f>IF(Data!$D18="",""," ! Visible Absorptance")</f>
        <v/>
      </c>
      <c r="C181" s="412"/>
      <c r="F181" s="412"/>
      <c r="G181" s="412"/>
    </row>
    <row r="182" spans="1:7">
      <c r="A182" s="412"/>
      <c r="B182" s="412"/>
      <c r="C182" s="412"/>
      <c r="F182" s="412"/>
      <c r="G182" s="412"/>
    </row>
    <row r="183" spans="1:7">
      <c r="A183" s="412" t="str">
        <f>IF(Data!$D19="","","Material,")</f>
        <v/>
      </c>
      <c r="B183" s="412" t="str">
        <f>IF(Data!$D19="",""," ! User material def'n from MATERIALS spreadsheet,")</f>
        <v/>
      </c>
      <c r="C183" s="412"/>
      <c r="F183" s="412"/>
      <c r="G183" s="412"/>
    </row>
    <row r="184" spans="1:7">
      <c r="A184" s="412" t="str">
        <f>IF(Data!$D19="","","    Matl "&amp;Data!$C19&amp;" "&amp;Data!$D19&amp;",")</f>
        <v/>
      </c>
      <c r="B184" s="412" t="str">
        <f>IF(Data!$D19="",""," ! under # ser material def'n from MATERIALS spreadsheet,")</f>
        <v/>
      </c>
      <c r="C184" s="412"/>
      <c r="F184" s="412"/>
      <c r="G184" s="412"/>
    </row>
    <row r="185" spans="1:7">
      <c r="A185" s="412" t="str">
        <f>IF(Data!$D19="",",","    "&amp;Data!$I19&amp;",")</f>
        <v>,</v>
      </c>
      <c r="B185" s="412" t="str">
        <f>IF(Data!$D19="",""," ! Roughness")</f>
        <v/>
      </c>
      <c r="C185" s="412"/>
      <c r="F185" s="412"/>
      <c r="G185" s="412"/>
    </row>
    <row r="186" spans="1:7">
      <c r="A186" s="412" t="str">
        <f>IF(Data!$D19="",",","    "&amp;Data!$J19/1000&amp;",")</f>
        <v>,</v>
      </c>
      <c r="B186" s="412" t="str">
        <f>IF(Data!$D19="",""," ! Thickness (m)")</f>
        <v/>
      </c>
      <c r="C186" s="412"/>
      <c r="F186" s="412"/>
      <c r="G186" s="412"/>
    </row>
    <row r="187" spans="1:7">
      <c r="A187" s="412" t="str">
        <f>IF(Data!$D19="",",","    "&amp;Data!$K19&amp;",")</f>
        <v>,</v>
      </c>
      <c r="B187" s="412" t="str">
        <f>IF(Data!$D19="",""," ! Conductivity (W/m-K)")</f>
        <v/>
      </c>
      <c r="C187" s="412"/>
      <c r="F187" s="412"/>
      <c r="G187" s="412"/>
    </row>
    <row r="188" spans="1:7">
      <c r="A188" s="412" t="str">
        <f>IF(Data!$D19="",",","    "&amp;Data!$L19&amp;",")</f>
        <v>,</v>
      </c>
      <c r="B188" s="412" t="str">
        <f>IF(Data!$D19="",""," ! Density kg/m3")</f>
        <v/>
      </c>
      <c r="C188" s="412"/>
      <c r="F188" s="412"/>
      <c r="G188" s="412"/>
    </row>
    <row r="189" spans="1:7">
      <c r="A189" s="412" t="str">
        <f>IF(Data!$D19="",",","    "&amp;Data!$M19&amp;",")</f>
        <v>,</v>
      </c>
      <c r="B189" s="412" t="str">
        <f>IF(Data!$D19="",""," ! Specific Heat (J/kg-K)")</f>
        <v/>
      </c>
      <c r="C189" s="412"/>
      <c r="F189" s="412"/>
      <c r="G189" s="412"/>
    </row>
    <row r="190" spans="1:7">
      <c r="A190" s="412" t="str">
        <f>IF(Data!$D19="",",","    "&amp;Data!$N19&amp;",")</f>
        <v>,</v>
      </c>
      <c r="B190" s="412" t="str">
        <f>IF(Data!$D19="",""," ! Thermal Absorptance")</f>
        <v/>
      </c>
      <c r="C190" s="412"/>
      <c r="F190" s="412"/>
      <c r="G190" s="412"/>
    </row>
    <row r="191" spans="1:7">
      <c r="A191" s="412" t="str">
        <f>IF(Data!$D19="",",","    "&amp;Data!$O19&amp;",")</f>
        <v>,</v>
      </c>
      <c r="B191" s="412" t="str">
        <f>IF(Data!$D19="",""," ! Solar Absorptance")</f>
        <v/>
      </c>
      <c r="C191" s="412"/>
      <c r="F191" s="412"/>
      <c r="G191" s="412"/>
    </row>
    <row r="192" spans="1:7">
      <c r="A192" s="412" t="str">
        <f>IF(Data!$D19="",",","    "&amp;Data!$P19&amp;";")</f>
        <v>,</v>
      </c>
      <c r="B192" s="412" t="str">
        <f>IF(Data!$D19="",""," ! Visible Absorptance")</f>
        <v/>
      </c>
      <c r="C192" s="412"/>
      <c r="F192" s="412"/>
      <c r="G192" s="412"/>
    </row>
    <row r="193" spans="1:7">
      <c r="A193" s="412"/>
      <c r="B193" s="412"/>
      <c r="C193" s="412"/>
      <c r="F193" s="412"/>
      <c r="G193" s="412"/>
    </row>
    <row r="194" spans="1:7">
      <c r="A194" s="412" t="str">
        <f>IF(Data!$D20="","","Material,")</f>
        <v/>
      </c>
      <c r="B194" s="412" t="str">
        <f>IF(Data!$D20="",""," ! User material def'n from MATERIALS spreadsheet,")</f>
        <v/>
      </c>
      <c r="C194" s="412"/>
      <c r="F194" s="412"/>
      <c r="G194" s="412"/>
    </row>
    <row r="195" spans="1:7">
      <c r="A195" s="412" t="str">
        <f>IF(Data!$D20="","","    Matl "&amp;Data!$C20&amp;" "&amp;Data!$D20&amp;",")</f>
        <v/>
      </c>
      <c r="B195" s="412" t="str">
        <f>IF(Data!$D20="",""," ! under # ser material def'n from MATERIALS spreadsheet,")</f>
        <v/>
      </c>
      <c r="C195" s="412"/>
      <c r="F195" s="412"/>
      <c r="G195" s="412"/>
    </row>
    <row r="196" spans="1:7">
      <c r="A196" s="412" t="str">
        <f>IF(Data!$D20="",",","    "&amp;Data!$I20&amp;",")</f>
        <v>,</v>
      </c>
      <c r="B196" s="412" t="str">
        <f>IF(Data!$D20="",""," ! Roughness")</f>
        <v/>
      </c>
      <c r="C196" s="412"/>
      <c r="F196" s="412"/>
      <c r="G196" s="412"/>
    </row>
    <row r="197" spans="1:7">
      <c r="A197" s="412" t="str">
        <f>IF(Data!$D20="",",","    "&amp;Data!$J20/1000&amp;",")</f>
        <v>,</v>
      </c>
      <c r="B197" s="412" t="str">
        <f>IF(Data!$D20="",""," ! Thickness (m)")</f>
        <v/>
      </c>
      <c r="C197" s="412"/>
      <c r="F197" s="412"/>
      <c r="G197" s="412"/>
    </row>
    <row r="198" spans="1:7">
      <c r="A198" s="412" t="str">
        <f>IF(Data!$D20="",",","    "&amp;Data!$K20&amp;",")</f>
        <v>,</v>
      </c>
      <c r="B198" s="412" t="str">
        <f>IF(Data!$D20="",""," ! Conductivity (W/m-K)")</f>
        <v/>
      </c>
      <c r="C198" s="412"/>
      <c r="F198" s="412"/>
      <c r="G198" s="412"/>
    </row>
    <row r="199" spans="1:7">
      <c r="A199" s="412" t="str">
        <f>IF(Data!$D20="",",","    "&amp;Data!$L20&amp;",")</f>
        <v>,</v>
      </c>
      <c r="B199" s="412" t="str">
        <f>IF(Data!$D20="",""," ! Density kg/m3")</f>
        <v/>
      </c>
      <c r="C199" s="412"/>
      <c r="F199" s="412"/>
      <c r="G199" s="412"/>
    </row>
    <row r="200" spans="1:7">
      <c r="A200" s="412" t="str">
        <f>IF(Data!$D20="",",","    "&amp;Data!$M20&amp;",")</f>
        <v>,</v>
      </c>
      <c r="B200" s="412" t="str">
        <f>IF(Data!$D20="",""," ! Specific Heat (J/kg-K)")</f>
        <v/>
      </c>
      <c r="C200" s="412"/>
      <c r="F200" s="412"/>
      <c r="G200" s="412"/>
    </row>
    <row r="201" spans="1:7">
      <c r="A201" s="412" t="str">
        <f>IF(Data!$D20="",",","    "&amp;Data!$N20&amp;",")</f>
        <v>,</v>
      </c>
      <c r="B201" s="412" t="str">
        <f>IF(Data!$D20="",""," ! Thermal Absorptance")</f>
        <v/>
      </c>
      <c r="C201" s="412"/>
      <c r="F201" s="412"/>
      <c r="G201" s="412"/>
    </row>
    <row r="202" spans="1:7">
      <c r="A202" s="412" t="str">
        <f>IF(Data!$D20="",",","    "&amp;Data!$O20&amp;",")</f>
        <v>,</v>
      </c>
      <c r="B202" s="412" t="str">
        <f>IF(Data!$D20="",""," ! Solar Absorptance")</f>
        <v/>
      </c>
      <c r="C202" s="412"/>
      <c r="F202" s="412"/>
      <c r="G202" s="412"/>
    </row>
    <row r="203" spans="1:7">
      <c r="A203" s="412" t="str">
        <f>IF(Data!$D20="",",","    "&amp;Data!$P20&amp;";")</f>
        <v>,</v>
      </c>
      <c r="B203" s="412" t="str">
        <f>IF(Data!$D20="",""," ! Visible Absorptance")</f>
        <v/>
      </c>
      <c r="C203" s="412"/>
      <c r="F203" s="412"/>
      <c r="G203" s="412"/>
    </row>
    <row r="204" spans="1:7">
      <c r="A204" s="412"/>
      <c r="B204" s="412"/>
      <c r="C204" s="412"/>
      <c r="F204" s="412"/>
      <c r="G204" s="412"/>
    </row>
    <row r="205" spans="1:7">
      <c r="A205" s="412" t="str">
        <f>IF(Data!$D21="","","Material,")</f>
        <v/>
      </c>
      <c r="B205" s="412" t="str">
        <f>IF(Data!$D21="",""," ! User material def'n from MATERIALS spreadsheet,")</f>
        <v/>
      </c>
      <c r="C205" s="412"/>
      <c r="F205" s="412"/>
      <c r="G205" s="412"/>
    </row>
    <row r="206" spans="1:7">
      <c r="A206" s="412" t="str">
        <f>IF(Data!$D21="","","    Matl "&amp;Data!$C21&amp;" "&amp;Data!$D21&amp;",")</f>
        <v/>
      </c>
      <c r="B206" s="412" t="str">
        <f>IF(Data!$D21="",""," ! under # ser material def'n from MATERIALS spreadsheet,")</f>
        <v/>
      </c>
      <c r="C206" s="412"/>
      <c r="F206" s="412"/>
      <c r="G206" s="412"/>
    </row>
    <row r="207" spans="1:7">
      <c r="A207" s="412" t="str">
        <f>IF(Data!$D21="",",","    "&amp;Data!$I21&amp;",")</f>
        <v>,</v>
      </c>
      <c r="B207" s="412" t="str">
        <f>IF(Data!$D21="",""," ! Roughness")</f>
        <v/>
      </c>
      <c r="C207" s="412"/>
      <c r="F207" s="412"/>
      <c r="G207" s="412"/>
    </row>
    <row r="208" spans="1:7">
      <c r="A208" s="412" t="str">
        <f>IF(Data!$D21="",",","    "&amp;Data!$J21/1000&amp;",")</f>
        <v>,</v>
      </c>
      <c r="B208" s="412" t="str">
        <f>IF(Data!$D21="",""," ! Thickness (m)")</f>
        <v/>
      </c>
      <c r="C208" s="412"/>
      <c r="F208" s="412"/>
      <c r="G208" s="412"/>
    </row>
    <row r="209" spans="1:7">
      <c r="A209" s="412" t="str">
        <f>IF(Data!$D21="",",","    "&amp;Data!$K21&amp;",")</f>
        <v>,</v>
      </c>
      <c r="B209" s="412" t="str">
        <f>IF(Data!$D21="",""," ! Conductivity (W/m-K)")</f>
        <v/>
      </c>
      <c r="C209" s="412"/>
      <c r="F209" s="412"/>
      <c r="G209" s="412"/>
    </row>
    <row r="210" spans="1:7">
      <c r="A210" s="412" t="str">
        <f>IF(Data!$D21="",",","    "&amp;Data!$L21&amp;",")</f>
        <v>,</v>
      </c>
      <c r="B210" s="412" t="str">
        <f>IF(Data!$D21="",""," ! Density kg/m3")</f>
        <v/>
      </c>
      <c r="C210" s="412"/>
      <c r="F210" s="412"/>
      <c r="G210" s="412"/>
    </row>
    <row r="211" spans="1:7">
      <c r="A211" s="412" t="str">
        <f>IF(Data!$D21="",",","    "&amp;Data!$M21&amp;",")</f>
        <v>,</v>
      </c>
      <c r="B211" s="412" t="str">
        <f>IF(Data!$D21="",""," ! Specific Heat (J/kg-K)")</f>
        <v/>
      </c>
      <c r="C211" s="412"/>
      <c r="F211" s="412"/>
      <c r="G211" s="412"/>
    </row>
    <row r="212" spans="1:7">
      <c r="A212" s="412" t="str">
        <f>IF(Data!$D21="",",","    "&amp;Data!$N21&amp;",")</f>
        <v>,</v>
      </c>
      <c r="B212" s="412" t="str">
        <f>IF(Data!$D21="",""," ! Thermal Absorptance")</f>
        <v/>
      </c>
      <c r="C212" s="412"/>
      <c r="F212" s="412"/>
      <c r="G212" s="412"/>
    </row>
    <row r="213" spans="1:7">
      <c r="A213" s="412" t="str">
        <f>IF(Data!$D21="",",","    "&amp;Data!$O21&amp;",")</f>
        <v>,</v>
      </c>
      <c r="B213" s="412" t="str">
        <f>IF(Data!$D21="",""," ! Solar Absorptance")</f>
        <v/>
      </c>
      <c r="C213" s="412"/>
      <c r="F213" s="412"/>
      <c r="G213" s="412"/>
    </row>
    <row r="214" spans="1:7">
      <c r="A214" s="412" t="str">
        <f>IF(Data!$D21="",",","    "&amp;Data!$P21&amp;";")</f>
        <v>,</v>
      </c>
      <c r="B214" s="412" t="str">
        <f>IF(Data!$D21="",""," ! Visible Absorptance")</f>
        <v/>
      </c>
      <c r="C214" s="412"/>
      <c r="F214" s="412"/>
      <c r="G214" s="412"/>
    </row>
    <row r="215" spans="1:7">
      <c r="A215" s="412"/>
      <c r="B215" s="412"/>
      <c r="C215" s="412"/>
      <c r="F215" s="412"/>
      <c r="G215" s="412"/>
    </row>
    <row r="216" spans="1:7">
      <c r="A216" s="412" t="str">
        <f>IF(Data!$D22="","","Material,")</f>
        <v/>
      </c>
      <c r="B216" s="412" t="str">
        <f>IF(Data!$D22="",""," ! User material def'n from MATERIALS spreadsheet,")</f>
        <v/>
      </c>
      <c r="C216" s="412"/>
      <c r="F216" s="412"/>
      <c r="G216" s="412"/>
    </row>
    <row r="217" spans="1:7">
      <c r="A217" s="412" t="str">
        <f>IF(Data!$D22="","","    Matl "&amp;Data!$C22&amp;" "&amp;Data!$D22&amp;",")</f>
        <v/>
      </c>
      <c r="B217" s="412" t="str">
        <f>IF(Data!$D22="",""," ! under # ser material def'n from MATERIALS spreadsheet,")</f>
        <v/>
      </c>
      <c r="C217" s="412"/>
      <c r="F217" s="412"/>
      <c r="G217" s="412"/>
    </row>
    <row r="218" spans="1:7">
      <c r="A218" s="412" t="str">
        <f>IF(Data!$D22="",",","    "&amp;Data!$I22&amp;",")</f>
        <v>,</v>
      </c>
      <c r="B218" s="412" t="str">
        <f>IF(Data!$D22="",""," ! Roughness")</f>
        <v/>
      </c>
      <c r="C218" s="412"/>
      <c r="F218" s="412"/>
      <c r="G218" s="412"/>
    </row>
    <row r="219" spans="1:7">
      <c r="A219" s="412" t="str">
        <f>IF(Data!$D22="",",","    "&amp;Data!$J22/1000&amp;",")</f>
        <v>,</v>
      </c>
      <c r="B219" s="412" t="str">
        <f>IF(Data!$D22="",""," ! Thickness (m)")</f>
        <v/>
      </c>
      <c r="C219" s="412"/>
      <c r="F219" s="412"/>
      <c r="G219" s="412"/>
    </row>
    <row r="220" spans="1:7">
      <c r="A220" s="412" t="str">
        <f>IF(Data!$D22="",",","    "&amp;Data!$K22&amp;",")</f>
        <v>,</v>
      </c>
      <c r="B220" s="412" t="str">
        <f>IF(Data!$D22="",""," ! Conductivity (W/m-K)")</f>
        <v/>
      </c>
      <c r="C220" s="412"/>
      <c r="F220" s="412"/>
      <c r="G220" s="412"/>
    </row>
    <row r="221" spans="1:7">
      <c r="A221" s="412" t="str">
        <f>IF(Data!$D22="",",","    "&amp;Data!$L22&amp;",")</f>
        <v>,</v>
      </c>
      <c r="B221" s="412" t="str">
        <f>IF(Data!$D22="",""," ! Density kg/m3")</f>
        <v/>
      </c>
      <c r="C221" s="412"/>
      <c r="F221" s="412"/>
      <c r="G221" s="412"/>
    </row>
    <row r="222" spans="1:7">
      <c r="A222" s="412" t="str">
        <f>IF(Data!$D22="",",","    "&amp;Data!$M22&amp;",")</f>
        <v>,</v>
      </c>
      <c r="B222" s="412" t="str">
        <f>IF(Data!$D22="",""," ! Specific Heat (J/kg-K)")</f>
        <v/>
      </c>
      <c r="C222" s="412"/>
      <c r="F222" s="412"/>
      <c r="G222" s="412"/>
    </row>
    <row r="223" spans="1:7">
      <c r="A223" s="412" t="str">
        <f>IF(Data!$D22="",",","    "&amp;Data!$N22&amp;",")</f>
        <v>,</v>
      </c>
      <c r="B223" s="412" t="str">
        <f>IF(Data!$D22="",""," ! Thermal Absorptance")</f>
        <v/>
      </c>
      <c r="C223" s="412"/>
      <c r="F223" s="412"/>
      <c r="G223" s="412"/>
    </row>
    <row r="224" spans="1:7">
      <c r="A224" s="412" t="str">
        <f>IF(Data!$D22="",",","    "&amp;Data!$O22&amp;",")</f>
        <v>,</v>
      </c>
      <c r="B224" s="412" t="str">
        <f>IF(Data!$D22="",""," ! Solar Absorptance")</f>
        <v/>
      </c>
      <c r="C224" s="412"/>
      <c r="F224" s="412"/>
      <c r="G224" s="412"/>
    </row>
    <row r="225" spans="1:7">
      <c r="A225" s="412" t="str">
        <f>IF(Data!$D22="",",","    "&amp;Data!$P22&amp;";")</f>
        <v>,</v>
      </c>
      <c r="B225" s="412" t="str">
        <f>IF(Data!$D22="",""," ! Visible Absorptance")</f>
        <v/>
      </c>
      <c r="C225" s="412"/>
      <c r="F225" s="412"/>
      <c r="G225" s="412"/>
    </row>
    <row r="226" spans="1:7">
      <c r="A226" s="412"/>
      <c r="B226" s="412"/>
      <c r="C226" s="412"/>
      <c r="F226" s="412"/>
      <c r="G226" s="412"/>
    </row>
    <row r="227" spans="1:7">
      <c r="A227" s="412" t="str">
        <f>IF(Data!$D23="","","Material,")</f>
        <v/>
      </c>
      <c r="B227" s="412" t="str">
        <f>IF(Data!$D23="",""," ! User material def'n from MATERIALS spreadsheet,")</f>
        <v/>
      </c>
      <c r="C227" s="412"/>
      <c r="F227" s="412"/>
      <c r="G227" s="412"/>
    </row>
    <row r="228" spans="1:7">
      <c r="A228" s="412" t="str">
        <f>IF(Data!$D23="","","    Matl "&amp;Data!$C23&amp;" "&amp;Data!$D23&amp;",")</f>
        <v/>
      </c>
      <c r="B228" s="412" t="str">
        <f>IF(Data!$D23="",""," ! under # ser material def'n from MATERIALS spreadsheet,")</f>
        <v/>
      </c>
      <c r="C228" s="412"/>
      <c r="F228" s="412"/>
      <c r="G228" s="412"/>
    </row>
    <row r="229" spans="1:7">
      <c r="A229" s="412" t="str">
        <f>IF(Data!$D23="",",","    "&amp;Data!$I23&amp;",")</f>
        <v>,</v>
      </c>
      <c r="B229" s="412" t="str">
        <f>IF(Data!$D23="",""," ! Roughness")</f>
        <v/>
      </c>
      <c r="C229" s="412"/>
      <c r="F229" s="412"/>
      <c r="G229" s="412"/>
    </row>
    <row r="230" spans="1:7">
      <c r="A230" s="412" t="str">
        <f>IF(Data!$D23="",",","    "&amp;Data!$J23/1000&amp;",")</f>
        <v>,</v>
      </c>
      <c r="B230" s="412" t="str">
        <f>IF(Data!$D23="",""," ! Thickness (m)")</f>
        <v/>
      </c>
      <c r="C230" s="412"/>
      <c r="F230" s="412"/>
      <c r="G230" s="412"/>
    </row>
    <row r="231" spans="1:7">
      <c r="A231" s="412" t="str">
        <f>IF(Data!$D23="",",","    "&amp;Data!$K23&amp;",")</f>
        <v>,</v>
      </c>
      <c r="B231" s="412" t="str">
        <f>IF(Data!$D23="",""," ! Conductivity (W/m-K)")</f>
        <v/>
      </c>
      <c r="C231" s="412"/>
      <c r="F231" s="412"/>
      <c r="G231" s="412"/>
    </row>
    <row r="232" spans="1:7">
      <c r="A232" s="412" t="str">
        <f>IF(Data!$D23="",",","    "&amp;Data!$L23&amp;",")</f>
        <v>,</v>
      </c>
      <c r="B232" s="412" t="str">
        <f>IF(Data!$D23="",""," ! Density kg/m3")</f>
        <v/>
      </c>
      <c r="C232" s="412"/>
      <c r="F232" s="412"/>
      <c r="G232" s="412"/>
    </row>
    <row r="233" spans="1:7">
      <c r="A233" s="412" t="str">
        <f>IF(Data!$D23="",",","    "&amp;Data!$M23&amp;",")</f>
        <v>,</v>
      </c>
      <c r="B233" s="412" t="str">
        <f>IF(Data!$D23="",""," ! Specific Heat (J/kg-K)")</f>
        <v/>
      </c>
      <c r="C233" s="412"/>
      <c r="F233" s="412"/>
      <c r="G233" s="412"/>
    </row>
    <row r="234" spans="1:7">
      <c r="A234" s="412" t="str">
        <f>IF(Data!$D23="",",","    "&amp;Data!$N23&amp;",")</f>
        <v>,</v>
      </c>
      <c r="B234" s="412" t="str">
        <f>IF(Data!$D23="",""," ! Thermal Absorptance")</f>
        <v/>
      </c>
      <c r="C234" s="412"/>
      <c r="F234" s="412"/>
      <c r="G234" s="412"/>
    </row>
    <row r="235" spans="1:7">
      <c r="A235" s="412" t="str">
        <f>IF(Data!$D23="",",","    "&amp;Data!$O23&amp;",")</f>
        <v>,</v>
      </c>
      <c r="B235" s="412" t="str">
        <f>IF(Data!$D23="",""," ! Solar Absorptance")</f>
        <v/>
      </c>
      <c r="C235" s="412"/>
      <c r="F235" s="412"/>
      <c r="G235" s="412"/>
    </row>
    <row r="236" spans="1:7">
      <c r="A236" s="412" t="str">
        <f>IF(Data!$D23="",",","    "&amp;Data!$P23&amp;";")</f>
        <v>,</v>
      </c>
      <c r="B236" s="412" t="str">
        <f>IF(Data!$D23="",""," ! Visible Absorptance")</f>
        <v/>
      </c>
      <c r="C236" s="412"/>
      <c r="F236" s="412"/>
      <c r="G236" s="412"/>
    </row>
    <row r="237" spans="1:7">
      <c r="A237" s="412"/>
      <c r="B237" s="412"/>
      <c r="C237" s="412"/>
      <c r="F237" s="412"/>
      <c r="G237" s="412"/>
    </row>
    <row r="238" spans="1:7">
      <c r="A238" s="412" t="str">
        <f>IF(Data!$D24="","","Material,")</f>
        <v/>
      </c>
      <c r="B238" s="412" t="str">
        <f>IF(Data!$D24="",""," ! User material def'n from MATERIALS spreadsheet,")</f>
        <v/>
      </c>
      <c r="C238" s="412"/>
      <c r="F238" s="412"/>
      <c r="G238" s="412"/>
    </row>
    <row r="239" spans="1:7">
      <c r="A239" s="412" t="str">
        <f>IF(Data!$D24="","","    Matl "&amp;Data!$C24&amp;" "&amp;Data!$D24&amp;",")</f>
        <v/>
      </c>
      <c r="B239" s="412" t="str">
        <f>IF(Data!$D24="",""," ! under # ser material def'n from MATERIALS spreadsheet,")</f>
        <v/>
      </c>
      <c r="C239" s="412"/>
      <c r="F239" s="412"/>
      <c r="G239" s="412"/>
    </row>
    <row r="240" spans="1:7">
      <c r="A240" s="412" t="str">
        <f>IF(Data!$D24="",",","    "&amp;Data!$I24&amp;",")</f>
        <v>,</v>
      </c>
      <c r="B240" s="412" t="str">
        <f>IF(Data!$D24="",""," ! Roughness")</f>
        <v/>
      </c>
      <c r="C240" s="412"/>
      <c r="F240" s="412"/>
      <c r="G240" s="412"/>
    </row>
    <row r="241" spans="1:7">
      <c r="A241" s="412" t="str">
        <f>IF(Data!$D24="",",","    "&amp;Data!$J24/1000&amp;",")</f>
        <v>,</v>
      </c>
      <c r="B241" s="412" t="str">
        <f>IF(Data!$D24="",""," ! Thickness (m)")</f>
        <v/>
      </c>
      <c r="C241" s="412"/>
      <c r="F241" s="412"/>
      <c r="G241" s="412"/>
    </row>
    <row r="242" spans="1:7">
      <c r="A242" s="412" t="str">
        <f>IF(Data!$D24="",",","    "&amp;Data!$K24&amp;",")</f>
        <v>,</v>
      </c>
      <c r="B242" s="412" t="str">
        <f>IF(Data!$D24="",""," ! Conductivity (W/m-K)")</f>
        <v/>
      </c>
      <c r="C242" s="412"/>
      <c r="F242" s="412"/>
      <c r="G242" s="412"/>
    </row>
    <row r="243" spans="1:7">
      <c r="A243" s="412" t="str">
        <f>IF(Data!$D24="",",","    "&amp;Data!$L24&amp;",")</f>
        <v>,</v>
      </c>
      <c r="B243" s="412" t="str">
        <f>IF(Data!$D24="",""," ! Density kg/m3")</f>
        <v/>
      </c>
      <c r="C243" s="412"/>
      <c r="F243" s="412"/>
      <c r="G243" s="412"/>
    </row>
    <row r="244" spans="1:7">
      <c r="A244" s="412" t="str">
        <f>IF(Data!$D24="",",","    "&amp;Data!$M24&amp;",")</f>
        <v>,</v>
      </c>
      <c r="B244" s="412" t="str">
        <f>IF(Data!$D24="",""," ! Specific Heat (J/kg-K)")</f>
        <v/>
      </c>
      <c r="C244" s="412"/>
      <c r="F244" s="412"/>
      <c r="G244" s="412"/>
    </row>
    <row r="245" spans="1:7">
      <c r="A245" s="412" t="str">
        <f>IF(Data!$D24="",",","    "&amp;Data!$N24&amp;",")</f>
        <v>,</v>
      </c>
      <c r="B245" s="412" t="str">
        <f>IF(Data!$D24="",""," ! Thermal Absorptance")</f>
        <v/>
      </c>
      <c r="C245" s="412"/>
      <c r="F245" s="412"/>
      <c r="G245" s="412"/>
    </row>
    <row r="246" spans="1:7">
      <c r="A246" s="412" t="str">
        <f>IF(Data!$D24="",",","    "&amp;Data!$O24&amp;",")</f>
        <v>,</v>
      </c>
      <c r="B246" s="412" t="str">
        <f>IF(Data!$D24="",""," ! Solar Absorptance")</f>
        <v/>
      </c>
      <c r="C246" s="412"/>
      <c r="F246" s="412"/>
      <c r="G246" s="412"/>
    </row>
    <row r="247" spans="1:7">
      <c r="A247" s="412" t="str">
        <f>IF(Data!$D24="",",","    "&amp;Data!$P24&amp;";")</f>
        <v>,</v>
      </c>
      <c r="B247" s="412" t="str">
        <f>IF(Data!$D24="",""," ! Visible Absorptance")</f>
        <v/>
      </c>
      <c r="C247" s="412"/>
      <c r="F247" s="412"/>
      <c r="G247" s="412"/>
    </row>
    <row r="248" spans="1:7">
      <c r="A248" s="412"/>
      <c r="B248" s="412"/>
      <c r="C248" s="412"/>
      <c r="F248" s="412"/>
      <c r="G248" s="412"/>
    </row>
    <row r="249" spans="1:7">
      <c r="A249" s="412" t="str">
        <f>IF(Data!$D25="","","Material,")</f>
        <v/>
      </c>
      <c r="B249" s="412" t="str">
        <f>IF(Data!$D25="",""," ! User material def'n from MATERIALS spreadsheet,")</f>
        <v/>
      </c>
      <c r="C249" s="412"/>
      <c r="F249" s="412"/>
      <c r="G249" s="412"/>
    </row>
    <row r="250" spans="1:7">
      <c r="A250" s="412" t="str">
        <f>IF(Data!$D25="","","    Matl "&amp;Data!$C25&amp;" "&amp;Data!$D25&amp;",")</f>
        <v/>
      </c>
      <c r="B250" s="412" t="str">
        <f>IF(Data!$D25="",""," ! under # ser material def'n from MATERIALS spreadsheet,")</f>
        <v/>
      </c>
      <c r="C250" s="412"/>
      <c r="F250" s="412"/>
      <c r="G250" s="412"/>
    </row>
    <row r="251" spans="1:7">
      <c r="A251" s="412" t="str">
        <f>IF(Data!$D25="",",","    "&amp;Data!$I25&amp;",")</f>
        <v>,</v>
      </c>
      <c r="B251" s="412" t="str">
        <f>IF(Data!$D25="",""," ! Roughness")</f>
        <v/>
      </c>
      <c r="C251" s="412"/>
      <c r="F251" s="412"/>
      <c r="G251" s="412"/>
    </row>
    <row r="252" spans="1:7">
      <c r="A252" s="412" t="str">
        <f>IF(Data!$D25="",",","    "&amp;Data!$J25/1000&amp;",")</f>
        <v>,</v>
      </c>
      <c r="B252" s="412" t="str">
        <f>IF(Data!$D25="",""," ! Thickness (m)")</f>
        <v/>
      </c>
      <c r="C252" s="412"/>
      <c r="F252" s="412"/>
      <c r="G252" s="412"/>
    </row>
    <row r="253" spans="1:7">
      <c r="A253" s="412" t="str">
        <f>IF(Data!$D25="",",","    "&amp;Data!$K25&amp;",")</f>
        <v>,</v>
      </c>
      <c r="B253" s="412" t="str">
        <f>IF(Data!$D25="",""," ! Conductivity (W/m-K)")</f>
        <v/>
      </c>
      <c r="C253" s="412"/>
      <c r="F253" s="412"/>
      <c r="G253" s="412"/>
    </row>
    <row r="254" spans="1:7">
      <c r="A254" s="412" t="str">
        <f>IF(Data!$D25="",",","    "&amp;Data!$L25&amp;",")</f>
        <v>,</v>
      </c>
      <c r="B254" s="412" t="str">
        <f>IF(Data!$D25="",""," ! Density kg/m3")</f>
        <v/>
      </c>
      <c r="C254" s="412"/>
      <c r="F254" s="412"/>
      <c r="G254" s="412"/>
    </row>
    <row r="255" spans="1:7">
      <c r="A255" s="412" t="str">
        <f>IF(Data!$D25="",",","    "&amp;Data!$M25&amp;",")</f>
        <v>,</v>
      </c>
      <c r="B255" s="412" t="str">
        <f>IF(Data!$D25="",""," ! Specific Heat (J/kg-K)")</f>
        <v/>
      </c>
      <c r="C255" s="412"/>
      <c r="F255" s="412"/>
      <c r="G255" s="412"/>
    </row>
    <row r="256" spans="1:7">
      <c r="A256" s="412" t="str">
        <f>IF(Data!$D25="",",","    "&amp;Data!$N25&amp;",")</f>
        <v>,</v>
      </c>
      <c r="B256" s="412" t="str">
        <f>IF(Data!$D25="",""," ! Thermal Absorptance")</f>
        <v/>
      </c>
      <c r="C256" s="412"/>
      <c r="F256" s="412"/>
      <c r="G256" s="412"/>
    </row>
    <row r="257" spans="1:7">
      <c r="A257" s="412" t="str">
        <f>IF(Data!$D25="",",","    "&amp;Data!$O25&amp;",")</f>
        <v>,</v>
      </c>
      <c r="B257" s="412" t="str">
        <f>IF(Data!$D25="",""," ! Solar Absorptance")</f>
        <v/>
      </c>
      <c r="C257" s="412"/>
      <c r="F257" s="412"/>
      <c r="G257" s="412"/>
    </row>
    <row r="258" spans="1:7">
      <c r="A258" s="412" t="str">
        <f>IF(Data!$D25="",",","    "&amp;Data!$P25&amp;";")</f>
        <v>,</v>
      </c>
      <c r="B258" s="412" t="str">
        <f>IF(Data!$D25="",""," ! Visible Absorptance")</f>
        <v/>
      </c>
      <c r="C258" s="412"/>
      <c r="F258" s="412"/>
      <c r="G258" s="412"/>
    </row>
    <row r="259" spans="1:7">
      <c r="A259" s="412"/>
      <c r="B259" s="412"/>
      <c r="C259" s="412"/>
      <c r="F259" s="412"/>
      <c r="G259" s="412"/>
    </row>
    <row r="260" spans="1:7">
      <c r="A260" s="412" t="str">
        <f>IF(Data!$D26="","","Material,")</f>
        <v/>
      </c>
      <c r="B260" s="412" t="str">
        <f>IF(Data!$D26="",""," ! User material def'n from MATERIALS spreadsheet,")</f>
        <v/>
      </c>
      <c r="C260" s="412"/>
      <c r="F260" s="412"/>
      <c r="G260" s="412"/>
    </row>
    <row r="261" spans="1:7">
      <c r="A261" s="412" t="str">
        <f>IF(Data!$D26="","","    Matl "&amp;Data!$C26&amp;" "&amp;Data!$D26&amp;",")</f>
        <v/>
      </c>
      <c r="B261" s="412" t="str">
        <f>IF(Data!$D26="",""," ! under # ser material def'n from MATERIALS spreadsheet,")</f>
        <v/>
      </c>
      <c r="C261" s="412"/>
      <c r="F261" s="412"/>
      <c r="G261" s="412"/>
    </row>
    <row r="262" spans="1:7">
      <c r="A262" s="412" t="str">
        <f>IF(Data!$D26="",",","    "&amp;Data!$I26&amp;",")</f>
        <v>,</v>
      </c>
      <c r="B262" s="412" t="str">
        <f>IF(Data!$D26="",""," ! Roughness")</f>
        <v/>
      </c>
      <c r="C262" s="412"/>
      <c r="F262" s="412"/>
      <c r="G262" s="412"/>
    </row>
    <row r="263" spans="1:7">
      <c r="A263" s="412" t="str">
        <f>IF(Data!$D26="",",","    "&amp;Data!$J26/1000&amp;",")</f>
        <v>,</v>
      </c>
      <c r="B263" s="412" t="str">
        <f>IF(Data!$D26="",""," ! Thickness (m)")</f>
        <v/>
      </c>
      <c r="C263" s="412"/>
      <c r="F263" s="412"/>
      <c r="G263" s="412"/>
    </row>
    <row r="264" spans="1:7">
      <c r="A264" s="412" t="str">
        <f>IF(Data!$D26="",",","    "&amp;Data!$K26&amp;",")</f>
        <v>,</v>
      </c>
      <c r="B264" s="412" t="str">
        <f>IF(Data!$D26="",""," ! Conductivity (W/m-K)")</f>
        <v/>
      </c>
      <c r="C264" s="412"/>
      <c r="F264" s="412"/>
      <c r="G264" s="412"/>
    </row>
    <row r="265" spans="1:7">
      <c r="A265" s="412" t="str">
        <f>IF(Data!$D26="",",","    "&amp;Data!$L26&amp;",")</f>
        <v>,</v>
      </c>
      <c r="B265" s="412" t="str">
        <f>IF(Data!$D26="",""," ! Density kg/m3")</f>
        <v/>
      </c>
      <c r="C265" s="412"/>
      <c r="F265" s="412"/>
      <c r="G265" s="412"/>
    </row>
    <row r="266" spans="1:7">
      <c r="A266" s="412" t="str">
        <f>IF(Data!$D26="",",","    "&amp;Data!$M26&amp;",")</f>
        <v>,</v>
      </c>
      <c r="B266" s="412" t="str">
        <f>IF(Data!$D26="",""," ! Specific Heat (J/kg-K)")</f>
        <v/>
      </c>
      <c r="C266" s="412"/>
      <c r="F266" s="412"/>
      <c r="G266" s="412"/>
    </row>
    <row r="267" spans="1:7">
      <c r="A267" s="412" t="str">
        <f>IF(Data!$D26="",",","    "&amp;Data!$N26&amp;",")</f>
        <v>,</v>
      </c>
      <c r="B267" s="412" t="str">
        <f>IF(Data!$D26="",""," ! Thermal Absorptance")</f>
        <v/>
      </c>
      <c r="C267" s="412"/>
      <c r="F267" s="412"/>
      <c r="G267" s="412"/>
    </row>
    <row r="268" spans="1:7">
      <c r="A268" s="412" t="str">
        <f>IF(Data!$D26="",",","    "&amp;Data!$O26&amp;",")</f>
        <v>,</v>
      </c>
      <c r="B268" s="412" t="str">
        <f>IF(Data!$D26="",""," ! Solar Absorptance")</f>
        <v/>
      </c>
      <c r="C268" s="412"/>
      <c r="F268" s="412"/>
      <c r="G268" s="412"/>
    </row>
    <row r="269" spans="1:7">
      <c r="A269" s="412" t="str">
        <f>IF(Data!$D26="",",","    "&amp;Data!$P26&amp;";")</f>
        <v>,</v>
      </c>
      <c r="B269" s="412" t="str">
        <f>IF(Data!$D26="",""," ! Visible Absorptance")</f>
        <v/>
      </c>
      <c r="C269" s="412"/>
      <c r="F269" s="412"/>
      <c r="G269" s="412"/>
    </row>
    <row r="270" spans="1:7">
      <c r="A270" s="412"/>
      <c r="B270" s="412"/>
      <c r="C270" s="412"/>
      <c r="F270" s="412"/>
      <c r="G270" s="412"/>
    </row>
    <row r="271" spans="1:7">
      <c r="A271" s="412" t="str">
        <f>IF(Data!$D27="","","Material,")</f>
        <v/>
      </c>
      <c r="B271" s="412" t="str">
        <f>IF(Data!$D27="",""," ! User material def'n from MATERIALS spreadsheet,")</f>
        <v/>
      </c>
      <c r="C271" s="412"/>
      <c r="F271" s="412"/>
      <c r="G271" s="412"/>
    </row>
    <row r="272" spans="1:7">
      <c r="A272" s="412" t="str">
        <f>IF(Data!$D27="","","    Matl "&amp;Data!$C27&amp;" "&amp;Data!$D27&amp;",")</f>
        <v/>
      </c>
      <c r="B272" s="412" t="str">
        <f>IF(Data!$D27="",""," ! under # ser material def'n from MATERIALS spreadsheet,")</f>
        <v/>
      </c>
      <c r="C272" s="412"/>
      <c r="F272" s="412"/>
      <c r="G272" s="412"/>
    </row>
    <row r="273" spans="1:7">
      <c r="A273" s="412" t="str">
        <f>IF(Data!$D27="",",","    "&amp;Data!$I27&amp;",")</f>
        <v>,</v>
      </c>
      <c r="B273" s="412" t="str">
        <f>IF(Data!$D27="",""," ! Roughness")</f>
        <v/>
      </c>
      <c r="C273" s="412"/>
      <c r="F273" s="412"/>
      <c r="G273" s="412"/>
    </row>
    <row r="274" spans="1:7">
      <c r="A274" s="412" t="str">
        <f>IF(Data!$D27="",",","    "&amp;Data!$J27/1000&amp;",")</f>
        <v>,</v>
      </c>
      <c r="B274" s="412" t="str">
        <f>IF(Data!$D27="",""," ! Thickness (m)")</f>
        <v/>
      </c>
      <c r="C274" s="412"/>
      <c r="F274" s="412"/>
      <c r="G274" s="412"/>
    </row>
    <row r="275" spans="1:7">
      <c r="A275" s="412" t="str">
        <f>IF(Data!$D27="",",","    "&amp;Data!$K27&amp;",")</f>
        <v>,</v>
      </c>
      <c r="B275" s="412" t="str">
        <f>IF(Data!$D27="",""," ! Conductivity (W/m-K)")</f>
        <v/>
      </c>
      <c r="C275" s="412"/>
      <c r="F275" s="412"/>
      <c r="G275" s="412"/>
    </row>
    <row r="276" spans="1:7">
      <c r="A276" s="412" t="str">
        <f>IF(Data!$D27="",",","    "&amp;Data!$L27&amp;",")</f>
        <v>,</v>
      </c>
      <c r="B276" s="412" t="str">
        <f>IF(Data!$D27="",""," ! Density kg/m3")</f>
        <v/>
      </c>
      <c r="C276" s="412"/>
      <c r="F276" s="412"/>
      <c r="G276" s="412"/>
    </row>
    <row r="277" spans="1:7">
      <c r="A277" s="412" t="str">
        <f>IF(Data!$D27="",",","    "&amp;Data!$M27&amp;",")</f>
        <v>,</v>
      </c>
      <c r="B277" s="412" t="str">
        <f>IF(Data!$D27="",""," ! Specific Heat (J/kg-K)")</f>
        <v/>
      </c>
      <c r="C277" s="412"/>
      <c r="F277" s="412"/>
      <c r="G277" s="412"/>
    </row>
    <row r="278" spans="1:7">
      <c r="A278" s="412" t="str">
        <f>IF(Data!$D27="",",","    "&amp;Data!$N27&amp;",")</f>
        <v>,</v>
      </c>
      <c r="B278" s="412" t="str">
        <f>IF(Data!$D27="",""," ! Thermal Absorptance")</f>
        <v/>
      </c>
      <c r="C278" s="412"/>
      <c r="F278" s="412"/>
      <c r="G278" s="412"/>
    </row>
    <row r="279" spans="1:7">
      <c r="A279" s="412" t="str">
        <f>IF(Data!$D27="",",","    "&amp;Data!$O27&amp;",")</f>
        <v>,</v>
      </c>
      <c r="B279" s="412" t="str">
        <f>IF(Data!$D27="",""," ! Solar Absorptance")</f>
        <v/>
      </c>
      <c r="C279" s="412"/>
      <c r="F279" s="412"/>
      <c r="G279" s="412"/>
    </row>
    <row r="280" spans="1:7">
      <c r="A280" s="412" t="str">
        <f>IF(Data!$D27="",",","    "&amp;Data!$P27&amp;";")</f>
        <v>,</v>
      </c>
      <c r="B280" s="412" t="str">
        <f>IF(Data!$D27="",""," ! Visible Absorptance")</f>
        <v/>
      </c>
      <c r="C280" s="412"/>
      <c r="F280" s="412"/>
      <c r="G280" s="412"/>
    </row>
    <row r="281" spans="1:7">
      <c r="A281" s="412"/>
      <c r="B281" s="412"/>
      <c r="C281" s="412"/>
      <c r="F281" s="412"/>
      <c r="G281" s="412"/>
    </row>
    <row r="282" spans="1:7">
      <c r="A282" s="412" t="str">
        <f>IF(Data!$D28="","","Material,")</f>
        <v/>
      </c>
      <c r="B282" s="412" t="str">
        <f>IF(Data!$D28="",""," ! User material def'n from MATERIALS spreadsheet,")</f>
        <v/>
      </c>
      <c r="C282" s="412"/>
      <c r="F282" s="412"/>
      <c r="G282" s="412"/>
    </row>
    <row r="283" spans="1:7">
      <c r="A283" s="412" t="str">
        <f>IF(Data!$D28="","","    Matl "&amp;Data!$C28&amp;" "&amp;Data!$D28&amp;",")</f>
        <v/>
      </c>
      <c r="B283" s="412" t="str">
        <f>IF(Data!$D28="",""," ! under # ser material def'n from MATERIALS spreadsheet,")</f>
        <v/>
      </c>
      <c r="C283" s="412"/>
      <c r="F283" s="412"/>
      <c r="G283" s="412"/>
    </row>
    <row r="284" spans="1:7">
      <c r="A284" s="412" t="str">
        <f>IF(Data!$D28="",",","    "&amp;Data!$I28&amp;",")</f>
        <v>,</v>
      </c>
      <c r="B284" s="412" t="str">
        <f>IF(Data!$D28="",""," ! Roughness")</f>
        <v/>
      </c>
      <c r="C284" s="412"/>
      <c r="F284" s="412"/>
      <c r="G284" s="412"/>
    </row>
    <row r="285" spans="1:7">
      <c r="A285" s="412" t="str">
        <f>IF(Data!$D28="",",","    "&amp;Data!$J28/1000&amp;",")</f>
        <v>,</v>
      </c>
      <c r="B285" s="412" t="str">
        <f>IF(Data!$D28="",""," ! Thickness (m)")</f>
        <v/>
      </c>
      <c r="C285" s="412"/>
      <c r="F285" s="412"/>
      <c r="G285" s="412"/>
    </row>
    <row r="286" spans="1:7">
      <c r="A286" s="412" t="str">
        <f>IF(Data!$D28="",",","    "&amp;Data!$K28&amp;",")</f>
        <v>,</v>
      </c>
      <c r="B286" s="412" t="str">
        <f>IF(Data!$D28="",""," ! Conductivity (W/m-K)")</f>
        <v/>
      </c>
      <c r="C286" s="412"/>
      <c r="F286" s="412"/>
      <c r="G286" s="412"/>
    </row>
    <row r="287" spans="1:7">
      <c r="A287" s="412" t="str">
        <f>IF(Data!$D28="",",","    "&amp;Data!$L28&amp;",")</f>
        <v>,</v>
      </c>
      <c r="B287" s="412" t="str">
        <f>IF(Data!$D28="",""," ! Density kg/m3")</f>
        <v/>
      </c>
      <c r="C287" s="412"/>
      <c r="F287" s="412"/>
      <c r="G287" s="412"/>
    </row>
    <row r="288" spans="1:7">
      <c r="A288" s="412" t="str">
        <f>IF(Data!$D28="",",","    "&amp;Data!$M28&amp;",")</f>
        <v>,</v>
      </c>
      <c r="B288" s="412" t="str">
        <f>IF(Data!$D28="",""," ! Specific Heat (J/kg-K)")</f>
        <v/>
      </c>
      <c r="C288" s="412"/>
      <c r="F288" s="412"/>
      <c r="G288" s="412"/>
    </row>
    <row r="289" spans="1:7">
      <c r="A289" s="412" t="str">
        <f>IF(Data!$D28="",",","    "&amp;Data!$N28&amp;",")</f>
        <v>,</v>
      </c>
      <c r="B289" s="412" t="str">
        <f>IF(Data!$D28="",""," ! Thermal Absorptance")</f>
        <v/>
      </c>
      <c r="C289" s="412"/>
      <c r="F289" s="412"/>
      <c r="G289" s="412"/>
    </row>
    <row r="290" spans="1:7">
      <c r="A290" s="412" t="str">
        <f>IF(Data!$D28="",",","    "&amp;Data!$O28&amp;",")</f>
        <v>,</v>
      </c>
      <c r="B290" s="412" t="str">
        <f>IF(Data!$D28="",""," ! Solar Absorptance")</f>
        <v/>
      </c>
      <c r="C290" s="412"/>
      <c r="F290" s="412"/>
      <c r="G290" s="412"/>
    </row>
    <row r="291" spans="1:7">
      <c r="A291" s="412" t="str">
        <f>IF(Data!$D28="",",","    "&amp;Data!$P28&amp;";")</f>
        <v>,</v>
      </c>
      <c r="B291" s="412" t="str">
        <f>IF(Data!$D28="",""," ! Visible Absorptance")</f>
        <v/>
      </c>
      <c r="C291" s="412"/>
      <c r="F291" s="412"/>
      <c r="G291" s="412"/>
    </row>
    <row r="292" spans="1:7">
      <c r="A292" s="412"/>
      <c r="B292" s="412"/>
      <c r="C292" s="412"/>
      <c r="F292" s="412"/>
      <c r="G292" s="412"/>
    </row>
    <row r="293" spans="1:7">
      <c r="A293" s="412" t="str">
        <f>IF(Data!$D29="","","Material,")</f>
        <v/>
      </c>
      <c r="B293" s="412" t="str">
        <f>IF(Data!$D29="",""," ! User material def'n from MATERIALS spreadsheet,")</f>
        <v/>
      </c>
      <c r="C293" s="412"/>
      <c r="F293" s="412"/>
      <c r="G293" s="412"/>
    </row>
    <row r="294" spans="1:7">
      <c r="A294" s="412" t="str">
        <f>IF(Data!$D29="","","    Matl "&amp;Data!$C29&amp;" "&amp;Data!$D29&amp;",")</f>
        <v/>
      </c>
      <c r="B294" s="412" t="str">
        <f>IF(Data!$D29="",""," ! under # ser material def'n from MATERIALS spreadsheet,")</f>
        <v/>
      </c>
      <c r="C294" s="412"/>
      <c r="F294" s="412"/>
      <c r="G294" s="412"/>
    </row>
    <row r="295" spans="1:7">
      <c r="A295" s="412" t="str">
        <f>IF(Data!$D29="",",","    "&amp;Data!$I29&amp;",")</f>
        <v>,</v>
      </c>
      <c r="B295" s="412" t="str">
        <f>IF(Data!$D29="",""," ! Roughness")</f>
        <v/>
      </c>
      <c r="C295" s="412"/>
      <c r="F295" s="412"/>
      <c r="G295" s="412"/>
    </row>
    <row r="296" spans="1:7">
      <c r="A296" s="412" t="str">
        <f>IF(Data!$D29="",",","    "&amp;Data!$J29/1000&amp;",")</f>
        <v>,</v>
      </c>
      <c r="B296" s="412" t="str">
        <f>IF(Data!$D29="",""," ! Thickness (m)")</f>
        <v/>
      </c>
      <c r="C296" s="412"/>
      <c r="F296" s="412"/>
      <c r="G296" s="412"/>
    </row>
    <row r="297" spans="1:7">
      <c r="A297" s="412" t="str">
        <f>IF(Data!$D29="",",","    "&amp;Data!$K29&amp;",")</f>
        <v>,</v>
      </c>
      <c r="B297" s="412" t="str">
        <f>IF(Data!$D29="",""," ! Conductivity (W/m-K)")</f>
        <v/>
      </c>
      <c r="C297" s="412"/>
      <c r="F297" s="412"/>
      <c r="G297" s="412"/>
    </row>
    <row r="298" spans="1:7">
      <c r="A298" s="412" t="str">
        <f>IF(Data!$D29="",",","    "&amp;Data!$L29&amp;",")</f>
        <v>,</v>
      </c>
      <c r="B298" s="412" t="str">
        <f>IF(Data!$D29="",""," ! Density kg/m3")</f>
        <v/>
      </c>
      <c r="C298" s="412"/>
      <c r="F298" s="412"/>
      <c r="G298" s="412"/>
    </row>
    <row r="299" spans="1:7">
      <c r="A299" s="412" t="str">
        <f>IF(Data!$D29="",",","    "&amp;Data!$M29&amp;",")</f>
        <v>,</v>
      </c>
      <c r="B299" s="412" t="str">
        <f>IF(Data!$D29="",""," ! Specific Heat (J/kg-K)")</f>
        <v/>
      </c>
      <c r="C299" s="412"/>
      <c r="F299" s="412"/>
      <c r="G299" s="412"/>
    </row>
    <row r="300" spans="1:7">
      <c r="A300" s="412" t="str">
        <f>IF(Data!$D29="",",","    "&amp;Data!$N29&amp;",")</f>
        <v>,</v>
      </c>
      <c r="B300" s="412" t="str">
        <f>IF(Data!$D29="",""," ! Thermal Absorptance")</f>
        <v/>
      </c>
      <c r="C300" s="412"/>
      <c r="F300" s="412"/>
      <c r="G300" s="412"/>
    </row>
    <row r="301" spans="1:7">
      <c r="A301" s="412" t="str">
        <f>IF(Data!$D29="",",","    "&amp;Data!$O29&amp;",")</f>
        <v>,</v>
      </c>
      <c r="B301" s="412" t="str">
        <f>IF(Data!$D29="",""," ! Solar Absorptance")</f>
        <v/>
      </c>
      <c r="C301" s="412"/>
      <c r="F301" s="412"/>
      <c r="G301" s="412"/>
    </row>
    <row r="302" spans="1:7">
      <c r="A302" s="412" t="str">
        <f>IF(Data!$D29="",",","    "&amp;Data!$P29&amp;";")</f>
        <v>,</v>
      </c>
      <c r="B302" s="412" t="str">
        <f>IF(Data!$D29="",""," ! Visible Absorptance")</f>
        <v/>
      </c>
      <c r="C302" s="412"/>
      <c r="F302" s="412"/>
      <c r="G302" s="412"/>
    </row>
    <row r="303" spans="1:7">
      <c r="A303" s="412"/>
      <c r="B303" s="412"/>
      <c r="C303" s="412"/>
      <c r="F303" s="412"/>
      <c r="G303" s="412"/>
    </row>
    <row r="304" spans="1:7">
      <c r="A304" s="412" t="str">
        <f>IF(Data!$D30="","","Material,")</f>
        <v/>
      </c>
      <c r="B304" s="412" t="str">
        <f>IF(Data!$D30="",""," ! User material def'n from MATERIALS spreadsheet,")</f>
        <v/>
      </c>
      <c r="C304" s="412"/>
      <c r="F304" s="412"/>
      <c r="G304" s="412"/>
    </row>
    <row r="305" spans="1:7">
      <c r="A305" s="412" t="str">
        <f>IF(Data!$D30="","","    Matl "&amp;Data!$C30&amp;" "&amp;Data!$D30&amp;",")</f>
        <v/>
      </c>
      <c r="B305" s="412" t="str">
        <f>IF(Data!$D30="",""," ! under # ser material def'n from MATERIALS spreadsheet,")</f>
        <v/>
      </c>
      <c r="C305" s="412"/>
      <c r="F305" s="412"/>
      <c r="G305" s="412"/>
    </row>
    <row r="306" spans="1:7">
      <c r="A306" s="412" t="str">
        <f>IF(Data!$D30="",",","    "&amp;Data!$I30&amp;",")</f>
        <v>,</v>
      </c>
      <c r="B306" s="412" t="str">
        <f>IF(Data!$D30="",""," ! Roughness")</f>
        <v/>
      </c>
      <c r="C306" s="412"/>
      <c r="F306" s="412"/>
      <c r="G306" s="412"/>
    </row>
    <row r="307" spans="1:7">
      <c r="A307" s="412" t="str">
        <f>IF(Data!$D30="",",","    "&amp;Data!$J30/1000&amp;",")</f>
        <v>,</v>
      </c>
      <c r="B307" s="412" t="str">
        <f>IF(Data!$D30="",""," ! Thickness (m)")</f>
        <v/>
      </c>
      <c r="C307" s="412"/>
      <c r="F307" s="412"/>
      <c r="G307" s="412"/>
    </row>
    <row r="308" spans="1:7">
      <c r="A308" s="412" t="str">
        <f>IF(Data!$D30="",",","    "&amp;Data!$K30&amp;",")</f>
        <v>,</v>
      </c>
      <c r="B308" s="412" t="str">
        <f>IF(Data!$D30="",""," ! Conductivity (W/m-K)")</f>
        <v/>
      </c>
      <c r="C308" s="412"/>
      <c r="F308" s="412"/>
      <c r="G308" s="412"/>
    </row>
    <row r="309" spans="1:7">
      <c r="A309" s="412" t="str">
        <f>IF(Data!$D30="",",","    "&amp;Data!$L30&amp;",")</f>
        <v>,</v>
      </c>
      <c r="B309" s="412" t="str">
        <f>IF(Data!$D30="",""," ! Density kg/m3")</f>
        <v/>
      </c>
      <c r="C309" s="412"/>
      <c r="F309" s="412"/>
      <c r="G309" s="412"/>
    </row>
    <row r="310" spans="1:7">
      <c r="A310" s="412" t="str">
        <f>IF(Data!$D30="",",","    "&amp;Data!$M30&amp;",")</f>
        <v>,</v>
      </c>
      <c r="B310" s="412" t="str">
        <f>IF(Data!$D30="",""," ! Specific Heat (J/kg-K)")</f>
        <v/>
      </c>
      <c r="C310" s="412"/>
      <c r="F310" s="412"/>
      <c r="G310" s="412"/>
    </row>
    <row r="311" spans="1:7">
      <c r="A311" s="412" t="str">
        <f>IF(Data!$D30="",",","    "&amp;Data!$N30&amp;",")</f>
        <v>,</v>
      </c>
      <c r="B311" s="412" t="str">
        <f>IF(Data!$D30="",""," ! Thermal Absorptance")</f>
        <v/>
      </c>
      <c r="C311" s="412"/>
      <c r="F311" s="412"/>
      <c r="G311" s="412"/>
    </row>
    <row r="312" spans="1:7">
      <c r="A312" s="412" t="str">
        <f>IF(Data!$D30="",",","    "&amp;Data!$O30&amp;",")</f>
        <v>,</v>
      </c>
      <c r="B312" s="412" t="str">
        <f>IF(Data!$D30="",""," ! Solar Absorptance")</f>
        <v/>
      </c>
      <c r="C312" s="412"/>
      <c r="F312" s="412"/>
      <c r="G312" s="412"/>
    </row>
    <row r="313" spans="1:7">
      <c r="A313" s="412" t="str">
        <f>IF(Data!$D30="",",","    "&amp;Data!$P30&amp;";")</f>
        <v>,</v>
      </c>
      <c r="B313" s="412" t="str">
        <f>IF(Data!$D30="",""," ! Visible Absorptance")</f>
        <v/>
      </c>
      <c r="C313" s="412"/>
      <c r="F313" s="412"/>
      <c r="G313" s="412"/>
    </row>
    <row r="314" spans="1:7">
      <c r="A314" s="412"/>
      <c r="B314" s="412"/>
      <c r="C314" s="412"/>
      <c r="F314" s="412"/>
      <c r="G314" s="412"/>
    </row>
    <row r="315" spans="1:7">
      <c r="A315" s="412" t="str">
        <f>IF(Data!$D31="","","Material,")</f>
        <v/>
      </c>
      <c r="B315" s="412" t="str">
        <f>IF(Data!$D31="",""," ! User material def'n from MATERIALS spreadsheet,")</f>
        <v/>
      </c>
      <c r="C315" s="412"/>
      <c r="F315" s="412"/>
      <c r="G315" s="412"/>
    </row>
    <row r="316" spans="1:7">
      <c r="A316" s="412" t="str">
        <f>IF(Data!$D31="","","    Matl "&amp;Data!$C31&amp;" "&amp;Data!$D31&amp;",")</f>
        <v/>
      </c>
      <c r="B316" s="412" t="str">
        <f>IF(Data!$D31="",""," ! under # ser material def'n from MATERIALS spreadsheet,")</f>
        <v/>
      </c>
      <c r="C316" s="412"/>
      <c r="F316" s="412"/>
      <c r="G316" s="412"/>
    </row>
    <row r="317" spans="1:7">
      <c r="A317" s="412" t="str">
        <f>IF(Data!$D31="",",","    "&amp;Data!$I31&amp;",")</f>
        <v>,</v>
      </c>
      <c r="B317" s="412" t="str">
        <f>IF(Data!$D31="",""," ! Roughness")</f>
        <v/>
      </c>
      <c r="C317" s="412"/>
      <c r="F317" s="412"/>
      <c r="G317" s="412"/>
    </row>
    <row r="318" spans="1:7">
      <c r="A318" s="412" t="str">
        <f>IF(Data!$D31="",",","    "&amp;Data!$J31/1000&amp;",")</f>
        <v>,</v>
      </c>
      <c r="B318" s="412" t="str">
        <f>IF(Data!$D31="",""," ! Thickness (m)")</f>
        <v/>
      </c>
      <c r="C318" s="412"/>
      <c r="F318" s="412"/>
      <c r="G318" s="412"/>
    </row>
    <row r="319" spans="1:7">
      <c r="A319" s="412" t="str">
        <f>IF(Data!$D31="",",","    "&amp;Data!$K31&amp;",")</f>
        <v>,</v>
      </c>
      <c r="B319" s="412" t="str">
        <f>IF(Data!$D31="",""," ! Conductivity (W/m-K)")</f>
        <v/>
      </c>
      <c r="C319" s="412"/>
      <c r="F319" s="412"/>
      <c r="G319" s="412"/>
    </row>
    <row r="320" spans="1:7">
      <c r="A320" s="412" t="str">
        <f>IF(Data!$D31="",",","    "&amp;Data!$L31&amp;",")</f>
        <v>,</v>
      </c>
      <c r="B320" s="412" t="str">
        <f>IF(Data!$D31="",""," ! Density kg/m3")</f>
        <v/>
      </c>
      <c r="C320" s="412"/>
      <c r="F320" s="412"/>
      <c r="G320" s="412"/>
    </row>
    <row r="321" spans="1:7">
      <c r="A321" s="412" t="str">
        <f>IF(Data!$D31="",",","    "&amp;Data!$M31&amp;",")</f>
        <v>,</v>
      </c>
      <c r="B321" s="412" t="str">
        <f>IF(Data!$D31="",""," ! Specific Heat (J/kg-K)")</f>
        <v/>
      </c>
      <c r="C321" s="412"/>
      <c r="F321" s="412"/>
      <c r="G321" s="412"/>
    </row>
    <row r="322" spans="1:7">
      <c r="A322" s="412" t="str">
        <f>IF(Data!$D31="",",","    "&amp;Data!$N31&amp;",")</f>
        <v>,</v>
      </c>
      <c r="B322" s="412" t="str">
        <f>IF(Data!$D31="",""," ! Thermal Absorptance")</f>
        <v/>
      </c>
      <c r="C322" s="412"/>
      <c r="F322" s="412"/>
      <c r="G322" s="412"/>
    </row>
    <row r="323" spans="1:7">
      <c r="A323" s="412" t="str">
        <f>IF(Data!$D31="",",","    "&amp;Data!$O31&amp;",")</f>
        <v>,</v>
      </c>
      <c r="B323" s="412" t="str">
        <f>IF(Data!$D31="",""," ! Solar Absorptance")</f>
        <v/>
      </c>
      <c r="C323" s="412"/>
      <c r="F323" s="412"/>
      <c r="G323" s="412"/>
    </row>
    <row r="324" spans="1:7">
      <c r="A324" s="412" t="str">
        <f>IF(Data!$D31="",",","    "&amp;Data!$P31&amp;";")</f>
        <v>,</v>
      </c>
      <c r="B324" s="412" t="str">
        <f>IF(Data!$D31="",""," ! Visible Absorptance")</f>
        <v/>
      </c>
      <c r="C324" s="412"/>
      <c r="F324" s="412"/>
      <c r="G324" s="412"/>
    </row>
    <row r="325" spans="1:7">
      <c r="A325" s="412"/>
      <c r="B325" s="412"/>
      <c r="C325" s="412"/>
      <c r="F325" s="412"/>
      <c r="G325" s="412"/>
    </row>
    <row r="326" spans="1:7">
      <c r="A326" s="412" t="str">
        <f>IF(Data!$D32="","","Material,")</f>
        <v/>
      </c>
      <c r="B326" s="412" t="str">
        <f>IF(Data!$D32="",""," ! User material def'n from MATERIALS spreadsheet,")</f>
        <v/>
      </c>
      <c r="C326" s="412"/>
      <c r="F326" s="412"/>
      <c r="G326" s="412"/>
    </row>
    <row r="327" spans="1:7">
      <c r="A327" s="412" t="str">
        <f>IF(Data!$D32="","","    Matl "&amp;Data!$C32&amp;" "&amp;Data!$D32&amp;",")</f>
        <v/>
      </c>
      <c r="B327" s="412" t="str">
        <f>IF(Data!$D32="",""," ! under # ser material def'n from MATERIALS spreadsheet,")</f>
        <v/>
      </c>
      <c r="C327" s="412"/>
      <c r="F327" s="412"/>
      <c r="G327" s="412"/>
    </row>
    <row r="328" spans="1:7">
      <c r="A328" s="412" t="str">
        <f>IF(Data!$D32="",",","    "&amp;Data!$I32&amp;",")</f>
        <v>,</v>
      </c>
      <c r="B328" s="412" t="str">
        <f>IF(Data!$D32="",""," ! Roughness")</f>
        <v/>
      </c>
      <c r="C328" s="412"/>
      <c r="F328" s="412"/>
      <c r="G328" s="412"/>
    </row>
    <row r="329" spans="1:7">
      <c r="A329" s="412" t="str">
        <f>IF(Data!$D32="",",","    "&amp;Data!$J32/1000&amp;",")</f>
        <v>,</v>
      </c>
      <c r="B329" s="412" t="str">
        <f>IF(Data!$D32="",""," ! Thickness (m)")</f>
        <v/>
      </c>
      <c r="C329" s="412"/>
      <c r="F329" s="412"/>
      <c r="G329" s="412"/>
    </row>
    <row r="330" spans="1:7">
      <c r="A330" s="412" t="str">
        <f>IF(Data!$D32="",",","    "&amp;Data!$K32&amp;",")</f>
        <v>,</v>
      </c>
      <c r="B330" s="412" t="str">
        <f>IF(Data!$D32="",""," ! Conductivity (W/m-K)")</f>
        <v/>
      </c>
      <c r="C330" s="412"/>
      <c r="F330" s="412"/>
      <c r="G330" s="412"/>
    </row>
    <row r="331" spans="1:7">
      <c r="A331" s="412" t="str">
        <f>IF(Data!$D32="",",","    "&amp;Data!$L32&amp;",")</f>
        <v>,</v>
      </c>
      <c r="B331" s="412" t="str">
        <f>IF(Data!$D32="",""," ! Density kg/m3")</f>
        <v/>
      </c>
      <c r="C331" s="412"/>
      <c r="F331" s="412"/>
      <c r="G331" s="412"/>
    </row>
    <row r="332" spans="1:7">
      <c r="A332" s="412" t="str">
        <f>IF(Data!$D32="",",","    "&amp;Data!$M32&amp;",")</f>
        <v>,</v>
      </c>
      <c r="B332" s="412" t="str">
        <f>IF(Data!$D32="",""," ! Specific Heat (J/kg-K)")</f>
        <v/>
      </c>
      <c r="C332" s="412"/>
      <c r="F332" s="412"/>
      <c r="G332" s="412"/>
    </row>
    <row r="333" spans="1:7">
      <c r="A333" s="412" t="str">
        <f>IF(Data!$D32="",",","    "&amp;Data!$N32&amp;",")</f>
        <v>,</v>
      </c>
      <c r="B333" s="412" t="str">
        <f>IF(Data!$D32="",""," ! Thermal Absorptance")</f>
        <v/>
      </c>
      <c r="C333" s="412"/>
      <c r="F333" s="412"/>
      <c r="G333" s="412"/>
    </row>
    <row r="334" spans="1:7">
      <c r="A334" s="412" t="str">
        <f>IF(Data!$D32="",",","    "&amp;Data!$O32&amp;",")</f>
        <v>,</v>
      </c>
      <c r="B334" s="412" t="str">
        <f>IF(Data!$D32="",""," ! Solar Absorptance")</f>
        <v/>
      </c>
      <c r="C334" s="412"/>
      <c r="F334" s="412"/>
      <c r="G334" s="412"/>
    </row>
    <row r="335" spans="1:7">
      <c r="A335" s="412" t="str">
        <f>IF(Data!$D32="",",","    "&amp;Data!$P32&amp;";")</f>
        <v>,</v>
      </c>
      <c r="B335" s="412" t="str">
        <f>IF(Data!$D32="",""," ! Visible Absorptance")</f>
        <v/>
      </c>
      <c r="C335" s="412"/>
      <c r="F335" s="412"/>
      <c r="G335" s="412"/>
    </row>
    <row r="336" spans="1:7">
      <c r="A336" s="412"/>
      <c r="B336" s="412"/>
      <c r="C336" s="412"/>
      <c r="F336" s="412"/>
      <c r="G336" s="412"/>
    </row>
    <row r="337" spans="1:7">
      <c r="A337" s="412" t="str">
        <f>IF(Data!$D33="","","Material,")</f>
        <v/>
      </c>
      <c r="B337" s="412" t="str">
        <f>IF(Data!$D33="",""," ! User material def'n from MATERIALS spreadsheet,")</f>
        <v/>
      </c>
      <c r="C337" s="412"/>
      <c r="F337" s="412"/>
      <c r="G337" s="412"/>
    </row>
    <row r="338" spans="1:7">
      <c r="A338" s="412" t="str">
        <f>IF(Data!$D33="","","    Matl "&amp;Data!$C33&amp;" "&amp;Data!$D33&amp;",")</f>
        <v/>
      </c>
      <c r="B338" s="412" t="str">
        <f>IF(Data!$D33="",""," ! under # ser material def'n from MATERIALS spreadsheet,")</f>
        <v/>
      </c>
      <c r="C338" s="412"/>
      <c r="F338" s="412"/>
      <c r="G338" s="412"/>
    </row>
    <row r="339" spans="1:7">
      <c r="A339" s="412" t="str">
        <f>IF(Data!$D33="",",","    "&amp;Data!$I33&amp;",")</f>
        <v>,</v>
      </c>
      <c r="B339" s="412" t="str">
        <f>IF(Data!$D33="",""," ! Roughness")</f>
        <v/>
      </c>
      <c r="C339" s="412"/>
      <c r="F339" s="412"/>
      <c r="G339" s="412"/>
    </row>
    <row r="340" spans="1:7">
      <c r="A340" s="412" t="str">
        <f>IF(Data!$D33="",",","    "&amp;Data!$J33/1000&amp;",")</f>
        <v>,</v>
      </c>
      <c r="B340" s="412" t="str">
        <f>IF(Data!$D33="",""," ! Thickness (m)")</f>
        <v/>
      </c>
      <c r="C340" s="412"/>
      <c r="F340" s="412"/>
      <c r="G340" s="412"/>
    </row>
    <row r="341" spans="1:7">
      <c r="A341" s="412" t="str">
        <f>IF(Data!$D33="",",","    "&amp;Data!$K33&amp;",")</f>
        <v>,</v>
      </c>
      <c r="B341" s="412" t="str">
        <f>IF(Data!$D33="",""," ! Conductivity (W/m-K)")</f>
        <v/>
      </c>
      <c r="C341" s="412"/>
      <c r="F341" s="412"/>
      <c r="G341" s="412"/>
    </row>
    <row r="342" spans="1:7">
      <c r="A342" s="412" t="str">
        <f>IF(Data!$D33="",",","    "&amp;Data!$L33&amp;",")</f>
        <v>,</v>
      </c>
      <c r="B342" s="412" t="str">
        <f>IF(Data!$D33="",""," ! Density kg/m3")</f>
        <v/>
      </c>
      <c r="C342" s="412"/>
      <c r="F342" s="412"/>
      <c r="G342" s="412"/>
    </row>
    <row r="343" spans="1:7">
      <c r="A343" s="412" t="str">
        <f>IF(Data!$D33="",",","    "&amp;Data!$M33&amp;",")</f>
        <v>,</v>
      </c>
      <c r="B343" s="412" t="str">
        <f>IF(Data!$D33="",""," ! Specific Heat (J/kg-K)")</f>
        <v/>
      </c>
      <c r="C343" s="412"/>
      <c r="F343" s="412"/>
      <c r="G343" s="412"/>
    </row>
    <row r="344" spans="1:7">
      <c r="A344" s="412" t="str">
        <f>IF(Data!$D33="",",","    "&amp;Data!$N33&amp;",")</f>
        <v>,</v>
      </c>
      <c r="B344" s="412" t="str">
        <f>IF(Data!$D33="",""," ! Thermal Absorptance")</f>
        <v/>
      </c>
      <c r="C344" s="412"/>
      <c r="F344" s="412"/>
      <c r="G344" s="412"/>
    </row>
    <row r="345" spans="1:7">
      <c r="A345" s="412" t="str">
        <f>IF(Data!$D33="",",","    "&amp;Data!$O33&amp;",")</f>
        <v>,</v>
      </c>
      <c r="B345" s="412" t="str">
        <f>IF(Data!$D33="",""," ! Solar Absorptance")</f>
        <v/>
      </c>
      <c r="C345" s="412"/>
      <c r="F345" s="412"/>
      <c r="G345" s="412"/>
    </row>
    <row r="346" spans="1:7">
      <c r="A346" s="412" t="str">
        <f>IF(Data!$D33="",",","    "&amp;Data!$P33&amp;";")</f>
        <v>,</v>
      </c>
      <c r="B346" s="412" t="str">
        <f>IF(Data!$D33="",""," ! Visible Absorptance")</f>
        <v/>
      </c>
      <c r="C346" s="412"/>
      <c r="F346" s="412"/>
      <c r="G346" s="412"/>
    </row>
    <row r="347" spans="1:7">
      <c r="A347" s="412"/>
      <c r="B347" s="412"/>
      <c r="C347" s="412"/>
      <c r="F347" s="412"/>
      <c r="G347" s="412"/>
    </row>
    <row r="348" spans="1:7">
      <c r="A348" s="412" t="str">
        <f>IF(Data!$D34="","","Material,")</f>
        <v/>
      </c>
      <c r="B348" s="412" t="str">
        <f>IF(Data!$D34="",""," ! User material def'n from MATERIALS spreadsheet,")</f>
        <v/>
      </c>
      <c r="C348" s="412"/>
      <c r="F348" s="412"/>
      <c r="G348" s="412"/>
    </row>
    <row r="349" spans="1:7">
      <c r="A349" s="412" t="str">
        <f>IF(Data!$D34="","","    Matl "&amp;Data!$C34&amp;" "&amp;Data!$D34&amp;",")</f>
        <v/>
      </c>
      <c r="B349" s="412" t="str">
        <f>IF(Data!$D34="",""," ! under # ser material def'n from MATERIALS spreadsheet,")</f>
        <v/>
      </c>
      <c r="C349" s="412"/>
      <c r="F349" s="412"/>
      <c r="G349" s="412"/>
    </row>
    <row r="350" spans="1:7">
      <c r="A350" s="412" t="str">
        <f>IF(Data!$D34="",",","    "&amp;Data!$I34&amp;",")</f>
        <v>,</v>
      </c>
      <c r="B350" s="412" t="str">
        <f>IF(Data!$D34="",""," ! Roughness")</f>
        <v/>
      </c>
      <c r="C350" s="412"/>
      <c r="F350" s="412"/>
      <c r="G350" s="412"/>
    </row>
    <row r="351" spans="1:7">
      <c r="A351" s="412" t="str">
        <f>IF(Data!$D34="",",","    "&amp;Data!$J34/1000&amp;",")</f>
        <v>,</v>
      </c>
      <c r="B351" s="412" t="str">
        <f>IF(Data!$D34="",""," ! Thickness (m)")</f>
        <v/>
      </c>
      <c r="C351" s="412"/>
      <c r="F351" s="412"/>
      <c r="G351" s="412"/>
    </row>
    <row r="352" spans="1:7">
      <c r="A352" s="412" t="str">
        <f>IF(Data!$D34="",",","    "&amp;Data!$K34&amp;",")</f>
        <v>,</v>
      </c>
      <c r="B352" s="412" t="str">
        <f>IF(Data!$D34="",""," ! Conductivity (W/m-K)")</f>
        <v/>
      </c>
      <c r="C352" s="412"/>
      <c r="F352" s="412"/>
      <c r="G352" s="412"/>
    </row>
    <row r="353" spans="1:7">
      <c r="A353" s="412" t="str">
        <f>IF(Data!$D34="",",","    "&amp;Data!$L34&amp;",")</f>
        <v>,</v>
      </c>
      <c r="B353" s="412" t="str">
        <f>IF(Data!$D34="",""," ! Density kg/m3")</f>
        <v/>
      </c>
      <c r="C353" s="412"/>
      <c r="F353" s="412"/>
      <c r="G353" s="412"/>
    </row>
    <row r="354" spans="1:7">
      <c r="A354" s="412" t="str">
        <f>IF(Data!$D34="",",","    "&amp;Data!$M34&amp;",")</f>
        <v>,</v>
      </c>
      <c r="B354" s="412" t="str">
        <f>IF(Data!$D34="",""," ! Specific Heat (J/kg-K)")</f>
        <v/>
      </c>
      <c r="C354" s="412"/>
      <c r="F354" s="412"/>
      <c r="G354" s="412"/>
    </row>
    <row r="355" spans="1:7">
      <c r="A355" s="412" t="str">
        <f>IF(Data!$D34="",",","    "&amp;Data!$N34&amp;",")</f>
        <v>,</v>
      </c>
      <c r="B355" s="412" t="str">
        <f>IF(Data!$D34="",""," ! Thermal Absorptance")</f>
        <v/>
      </c>
      <c r="C355" s="412"/>
      <c r="F355" s="412"/>
      <c r="G355" s="412"/>
    </row>
    <row r="356" spans="1:7">
      <c r="A356" s="412" t="str">
        <f>IF(Data!$D34="",",","    "&amp;Data!$O34&amp;",")</f>
        <v>,</v>
      </c>
      <c r="B356" s="412" t="str">
        <f>IF(Data!$D34="",""," ! Solar Absorptance")</f>
        <v/>
      </c>
      <c r="C356" s="412"/>
      <c r="F356" s="412"/>
      <c r="G356" s="412"/>
    </row>
    <row r="357" spans="1:7">
      <c r="A357" s="412" t="str">
        <f>IF(Data!$D34="",",","    "&amp;Data!$P34&amp;";")</f>
        <v>,</v>
      </c>
      <c r="B357" s="412" t="str">
        <f>IF(Data!$D34="",""," ! Visible Absorptance")</f>
        <v/>
      </c>
      <c r="C357" s="412"/>
      <c r="F357" s="412"/>
      <c r="G357" s="412"/>
    </row>
    <row r="358" spans="1:7">
      <c r="A358" s="412"/>
      <c r="B358" s="412"/>
      <c r="C358" s="412"/>
      <c r="F358" s="412"/>
      <c r="G358" s="412"/>
    </row>
    <row r="359" spans="1:7">
      <c r="A359" s="412" t="str">
        <f>IF(Data!$D35="","","Material,")</f>
        <v/>
      </c>
      <c r="B359" s="412" t="str">
        <f>IF(Data!$D35="",""," ! User material def'n from MATERIALS spreadsheet,")</f>
        <v/>
      </c>
      <c r="C359" s="412"/>
      <c r="F359" s="412"/>
      <c r="G359" s="412"/>
    </row>
    <row r="360" spans="1:7">
      <c r="A360" s="412" t="str">
        <f>IF(Data!$D35="","","    Matl "&amp;Data!$C35&amp;" "&amp;Data!$D35&amp;",")</f>
        <v/>
      </c>
      <c r="B360" s="412" t="str">
        <f>IF(Data!$D35="",""," ! under # ser material def'n from MATERIALS spreadsheet,")</f>
        <v/>
      </c>
      <c r="C360" s="412"/>
      <c r="F360" s="412"/>
      <c r="G360" s="412"/>
    </row>
    <row r="361" spans="1:7">
      <c r="A361" s="412" t="str">
        <f>IF(Data!$D35="",",","    "&amp;Data!$I35&amp;",")</f>
        <v>,</v>
      </c>
      <c r="B361" s="412" t="str">
        <f>IF(Data!$D35="",""," ! Roughness")</f>
        <v/>
      </c>
      <c r="C361" s="412"/>
      <c r="F361" s="412"/>
      <c r="G361" s="412"/>
    </row>
    <row r="362" spans="1:7">
      <c r="A362" s="412" t="str">
        <f>IF(Data!$D35="",",","    "&amp;Data!$J35/1000&amp;",")</f>
        <v>,</v>
      </c>
      <c r="B362" s="412" t="str">
        <f>IF(Data!$D35="",""," ! Thickness (m)")</f>
        <v/>
      </c>
      <c r="C362" s="412"/>
      <c r="F362" s="412"/>
      <c r="G362" s="412"/>
    </row>
    <row r="363" spans="1:7">
      <c r="A363" s="412" t="str">
        <f>IF(Data!$D35="",",","    "&amp;Data!$K35&amp;",")</f>
        <v>,</v>
      </c>
      <c r="B363" s="412" t="str">
        <f>IF(Data!$D35="",""," ! Conductivity (W/m-K)")</f>
        <v/>
      </c>
      <c r="C363" s="412"/>
      <c r="F363" s="412"/>
      <c r="G363" s="412"/>
    </row>
    <row r="364" spans="1:7">
      <c r="A364" s="412" t="str">
        <f>IF(Data!$D35="",",","    "&amp;Data!$L35&amp;",")</f>
        <v>,</v>
      </c>
      <c r="B364" s="412" t="str">
        <f>IF(Data!$D35="",""," ! Density kg/m3")</f>
        <v/>
      </c>
      <c r="C364" s="412"/>
      <c r="F364" s="412"/>
      <c r="G364" s="412"/>
    </row>
    <row r="365" spans="1:7">
      <c r="A365" s="412" t="str">
        <f>IF(Data!$D35="",",","    "&amp;Data!$M35&amp;",")</f>
        <v>,</v>
      </c>
      <c r="B365" s="412" t="str">
        <f>IF(Data!$D35="",""," ! Specific Heat (J/kg-K)")</f>
        <v/>
      </c>
      <c r="C365" s="412"/>
      <c r="F365" s="412"/>
      <c r="G365" s="412"/>
    </row>
    <row r="366" spans="1:7">
      <c r="A366" s="412" t="str">
        <f>IF(Data!$D35="",",","    "&amp;Data!$N35&amp;",")</f>
        <v>,</v>
      </c>
      <c r="B366" s="412" t="str">
        <f>IF(Data!$D35="",""," ! Thermal Absorptance")</f>
        <v/>
      </c>
      <c r="C366" s="412"/>
      <c r="F366" s="412"/>
      <c r="G366" s="412"/>
    </row>
    <row r="367" spans="1:7">
      <c r="A367" s="412" t="str">
        <f>IF(Data!$D35="",",","    "&amp;Data!$O35&amp;",")</f>
        <v>,</v>
      </c>
      <c r="B367" s="412" t="str">
        <f>IF(Data!$D35="",""," ! Solar Absorptance")</f>
        <v/>
      </c>
      <c r="C367" s="412"/>
      <c r="F367" s="412"/>
      <c r="G367" s="412"/>
    </row>
    <row r="368" spans="1:7">
      <c r="A368" s="412" t="str">
        <f>IF(Data!$D35="",",","    "&amp;Data!$P35&amp;";")</f>
        <v>,</v>
      </c>
      <c r="B368" s="412" t="str">
        <f>IF(Data!$D35="",""," ! Visible Absorptance")</f>
        <v/>
      </c>
      <c r="C368" s="412"/>
      <c r="F368" s="412"/>
      <c r="G368" s="412"/>
    </row>
    <row r="369" spans="1:7">
      <c r="A369" s="412"/>
      <c r="B369" s="412"/>
      <c r="C369" s="412"/>
      <c r="F369" s="412"/>
      <c r="G369" s="412"/>
    </row>
    <row r="370" spans="1:7">
      <c r="A370" s="412" t="str">
        <f>IF(Data!$D36="","","Material,")</f>
        <v/>
      </c>
      <c r="B370" s="412" t="str">
        <f>IF(Data!$D36="",""," ! User material def'n from MATERIALS spreadsheet,")</f>
        <v/>
      </c>
      <c r="C370" s="412"/>
      <c r="F370" s="412"/>
      <c r="G370" s="412"/>
    </row>
    <row r="371" spans="1:7">
      <c r="A371" s="412" t="str">
        <f>IF(Data!$D36="","","    Matl "&amp;Data!$C36&amp;" "&amp;Data!$D36&amp;",")</f>
        <v/>
      </c>
      <c r="B371" s="412" t="str">
        <f>IF(Data!$D36="",""," ! under # ser material def'n from MATERIALS spreadsheet,")</f>
        <v/>
      </c>
      <c r="C371" s="412"/>
      <c r="F371" s="412"/>
      <c r="G371" s="412"/>
    </row>
    <row r="372" spans="1:7">
      <c r="A372" s="412" t="str">
        <f>IF(Data!$D36="",",","    "&amp;Data!$I36&amp;",")</f>
        <v>,</v>
      </c>
      <c r="B372" s="412" t="str">
        <f>IF(Data!$D36="",""," ! Roughness")</f>
        <v/>
      </c>
      <c r="C372" s="412"/>
      <c r="F372" s="412"/>
      <c r="G372" s="412"/>
    </row>
    <row r="373" spans="1:7">
      <c r="A373" s="412" t="str">
        <f>IF(Data!$D36="",",","    "&amp;Data!$J36/1000&amp;",")</f>
        <v>,</v>
      </c>
      <c r="B373" s="412" t="str">
        <f>IF(Data!$D36="",""," ! Thickness (m)")</f>
        <v/>
      </c>
      <c r="C373" s="412"/>
      <c r="F373" s="412"/>
      <c r="G373" s="412"/>
    </row>
    <row r="374" spans="1:7">
      <c r="A374" s="412" t="str">
        <f>IF(Data!$D36="",",","    "&amp;Data!$K36&amp;",")</f>
        <v>,</v>
      </c>
      <c r="B374" s="412" t="str">
        <f>IF(Data!$D36="",""," ! Conductivity (W/m-K)")</f>
        <v/>
      </c>
      <c r="C374" s="412"/>
      <c r="F374" s="412"/>
      <c r="G374" s="412"/>
    </row>
    <row r="375" spans="1:7">
      <c r="A375" s="412" t="str">
        <f>IF(Data!$D36="",",","    "&amp;Data!$L36&amp;",")</f>
        <v>,</v>
      </c>
      <c r="B375" s="412" t="str">
        <f>IF(Data!$D36="",""," ! Density kg/m3")</f>
        <v/>
      </c>
      <c r="C375" s="412"/>
      <c r="F375" s="412"/>
      <c r="G375" s="412"/>
    </row>
    <row r="376" spans="1:7">
      <c r="A376" s="412" t="str">
        <f>IF(Data!$D36="",",","    "&amp;Data!$M36&amp;",")</f>
        <v>,</v>
      </c>
      <c r="B376" s="412" t="str">
        <f>IF(Data!$D36="",""," ! Specific Heat (J/kg-K)")</f>
        <v/>
      </c>
      <c r="C376" s="412"/>
      <c r="F376" s="412"/>
      <c r="G376" s="412"/>
    </row>
    <row r="377" spans="1:7">
      <c r="A377" s="412" t="str">
        <f>IF(Data!$D36="",",","    "&amp;Data!$N36&amp;",")</f>
        <v>,</v>
      </c>
      <c r="B377" s="412" t="str">
        <f>IF(Data!$D36="",""," ! Thermal Absorptance")</f>
        <v/>
      </c>
      <c r="C377" s="412"/>
      <c r="F377" s="412"/>
      <c r="G377" s="412"/>
    </row>
    <row r="378" spans="1:7">
      <c r="A378" s="412" t="str">
        <f>IF(Data!$D36="",",","    "&amp;Data!$O36&amp;",")</f>
        <v>,</v>
      </c>
      <c r="B378" s="412" t="str">
        <f>IF(Data!$D36="",""," ! Solar Absorptance")</f>
        <v/>
      </c>
      <c r="C378" s="412"/>
      <c r="F378" s="412"/>
      <c r="G378" s="412"/>
    </row>
    <row r="379" spans="1:7">
      <c r="A379" s="412" t="str">
        <f>IF(Data!$D36="",",","    "&amp;Data!$P36&amp;";")</f>
        <v>,</v>
      </c>
      <c r="B379" s="412" t="str">
        <f>IF(Data!$D36="",""," ! Visible Absorptance")</f>
        <v/>
      </c>
      <c r="C379" s="412"/>
      <c r="F379" s="412"/>
      <c r="G379" s="412"/>
    </row>
    <row r="380" spans="1:7">
      <c r="A380" s="412"/>
      <c r="B380" s="412"/>
      <c r="C380" s="412"/>
      <c r="F380" s="412"/>
      <c r="G380" s="412"/>
    </row>
    <row r="381" spans="1:7">
      <c r="A381" s="412" t="str">
        <f>IF(Data!$D37="","","Material,")</f>
        <v/>
      </c>
      <c r="B381" s="412" t="str">
        <f>IF(Data!$D37="",""," ! User material def'n from MATERIALS spreadsheet,")</f>
        <v/>
      </c>
      <c r="C381" s="412"/>
      <c r="F381" s="412"/>
      <c r="G381" s="412"/>
    </row>
    <row r="382" spans="1:7">
      <c r="A382" s="412" t="str">
        <f>IF(Data!$D37="","","    Matl "&amp;Data!$C37&amp;" "&amp;Data!$D37&amp;",")</f>
        <v/>
      </c>
      <c r="B382" s="412" t="str">
        <f>IF(Data!$D37="",""," ! under # ser material def'n from MATERIALS spreadsheet,")</f>
        <v/>
      </c>
      <c r="C382" s="412"/>
      <c r="F382" s="412"/>
      <c r="G382" s="412"/>
    </row>
    <row r="383" spans="1:7">
      <c r="A383" s="412" t="str">
        <f>IF(Data!$D37="",",","    "&amp;Data!$I37&amp;",")</f>
        <v>,</v>
      </c>
      <c r="B383" s="412" t="str">
        <f>IF(Data!$D37="",""," ! Roughness")</f>
        <v/>
      </c>
      <c r="C383" s="412"/>
      <c r="F383" s="412"/>
      <c r="G383" s="412"/>
    </row>
    <row r="384" spans="1:7">
      <c r="A384" s="412" t="str">
        <f>IF(Data!$D37="",",","    "&amp;Data!$J37/1000&amp;",")</f>
        <v>,</v>
      </c>
      <c r="B384" s="412" t="str">
        <f>IF(Data!$D37="",""," ! Thickness (m)")</f>
        <v/>
      </c>
      <c r="C384" s="412"/>
      <c r="F384" s="412"/>
      <c r="G384" s="412"/>
    </row>
    <row r="385" spans="1:7">
      <c r="A385" s="412" t="str">
        <f>IF(Data!$D37="",",","    "&amp;Data!$K37&amp;",")</f>
        <v>,</v>
      </c>
      <c r="B385" s="412" t="str">
        <f>IF(Data!$D37="",""," ! Conductivity (W/m-K)")</f>
        <v/>
      </c>
      <c r="C385" s="412"/>
      <c r="F385" s="412"/>
      <c r="G385" s="412"/>
    </row>
    <row r="386" spans="1:7">
      <c r="A386" s="412" t="str">
        <f>IF(Data!$D37="",",","    "&amp;Data!$L37&amp;",")</f>
        <v>,</v>
      </c>
      <c r="B386" s="412" t="str">
        <f>IF(Data!$D37="",""," ! Density kg/m3")</f>
        <v/>
      </c>
      <c r="C386" s="412"/>
      <c r="F386" s="412"/>
      <c r="G386" s="412"/>
    </row>
    <row r="387" spans="1:7">
      <c r="A387" s="412" t="str">
        <f>IF(Data!$D37="",",","    "&amp;Data!$M37&amp;",")</f>
        <v>,</v>
      </c>
      <c r="B387" s="412" t="str">
        <f>IF(Data!$D37="",""," ! Specific Heat (J/kg-K)")</f>
        <v/>
      </c>
      <c r="C387" s="412"/>
      <c r="F387" s="412"/>
      <c r="G387" s="412"/>
    </row>
    <row r="388" spans="1:7">
      <c r="A388" s="412" t="str">
        <f>IF(Data!$D37="",",","    "&amp;Data!$N37&amp;",")</f>
        <v>,</v>
      </c>
      <c r="B388" s="412" t="str">
        <f>IF(Data!$D37="",""," ! Thermal Absorptance")</f>
        <v/>
      </c>
      <c r="C388" s="412"/>
      <c r="F388" s="412"/>
      <c r="G388" s="412"/>
    </row>
    <row r="389" spans="1:7">
      <c r="A389" s="412" t="str">
        <f>IF(Data!$D37="",",","    "&amp;Data!$O37&amp;",")</f>
        <v>,</v>
      </c>
      <c r="B389" s="412" t="str">
        <f>IF(Data!$D37="",""," ! Solar Absorptance")</f>
        <v/>
      </c>
      <c r="C389" s="412"/>
      <c r="F389" s="412"/>
      <c r="G389" s="412"/>
    </row>
    <row r="390" spans="1:7">
      <c r="A390" s="412" t="str">
        <f>IF(Data!$D37="",",","    "&amp;Data!$P37&amp;";")</f>
        <v>,</v>
      </c>
      <c r="B390" s="412" t="str">
        <f>IF(Data!$D37="",""," ! Visible Absorptance")</f>
        <v/>
      </c>
      <c r="C390" s="412"/>
      <c r="F390" s="412"/>
      <c r="G390" s="412"/>
    </row>
    <row r="391" spans="1:7">
      <c r="A391" s="412"/>
      <c r="B391" s="412"/>
      <c r="C391" s="412"/>
      <c r="F391" s="412"/>
      <c r="G391" s="412"/>
    </row>
    <row r="392" spans="1:7">
      <c r="A392" s="412" t="str">
        <f>IF(Data!$D38="","","Material,")</f>
        <v/>
      </c>
      <c r="B392" s="412" t="str">
        <f>IF(Data!$D38="",""," ! User material def'n from MATERIALS spreadsheet,")</f>
        <v/>
      </c>
      <c r="C392" s="412"/>
      <c r="F392" s="412"/>
      <c r="G392" s="412"/>
    </row>
    <row r="393" spans="1:7">
      <c r="A393" s="412" t="str">
        <f>IF(Data!$D38="","","    Matl "&amp;Data!$C38&amp;" "&amp;Data!$D38&amp;",")</f>
        <v/>
      </c>
      <c r="B393" s="412" t="str">
        <f>IF(Data!$D38="",""," ! under # ser material def'n from MATERIALS spreadsheet,")</f>
        <v/>
      </c>
      <c r="C393" s="412"/>
      <c r="F393" s="412"/>
      <c r="G393" s="412"/>
    </row>
    <row r="394" spans="1:7">
      <c r="A394" s="412" t="str">
        <f>IF(Data!$D38="",",","    "&amp;Data!$I38&amp;",")</f>
        <v>,</v>
      </c>
      <c r="B394" s="412" t="str">
        <f>IF(Data!$D38="",""," ! Roughness")</f>
        <v/>
      </c>
      <c r="C394" s="412"/>
      <c r="F394" s="412"/>
      <c r="G394" s="412"/>
    </row>
    <row r="395" spans="1:7">
      <c r="A395" s="412" t="str">
        <f>IF(Data!$D38="",",","    "&amp;Data!$J38/1000&amp;",")</f>
        <v>,</v>
      </c>
      <c r="B395" s="412" t="str">
        <f>IF(Data!$D38="",""," ! Thickness (m)")</f>
        <v/>
      </c>
      <c r="C395" s="412"/>
      <c r="F395" s="412"/>
      <c r="G395" s="412"/>
    </row>
    <row r="396" spans="1:7">
      <c r="A396" s="412" t="str">
        <f>IF(Data!$D38="",",","    "&amp;Data!$K38&amp;",")</f>
        <v>,</v>
      </c>
      <c r="B396" s="412" t="str">
        <f>IF(Data!$D38="",""," ! Conductivity (W/m-K)")</f>
        <v/>
      </c>
      <c r="C396" s="412"/>
      <c r="F396" s="412"/>
      <c r="G396" s="412"/>
    </row>
    <row r="397" spans="1:7">
      <c r="A397" s="412" t="str">
        <f>IF(Data!$D38="",",","    "&amp;Data!$L38&amp;",")</f>
        <v>,</v>
      </c>
      <c r="B397" s="412" t="str">
        <f>IF(Data!$D38="",""," ! Density kg/m3")</f>
        <v/>
      </c>
      <c r="C397" s="412"/>
      <c r="F397" s="412"/>
      <c r="G397" s="412"/>
    </row>
    <row r="398" spans="1:7">
      <c r="A398" s="412" t="str">
        <f>IF(Data!$D38="",",","    "&amp;Data!$M38&amp;",")</f>
        <v>,</v>
      </c>
      <c r="B398" s="412" t="str">
        <f>IF(Data!$D38="",""," ! Specific Heat (J/kg-K)")</f>
        <v/>
      </c>
      <c r="C398" s="412"/>
      <c r="F398" s="412"/>
      <c r="G398" s="412"/>
    </row>
    <row r="399" spans="1:7">
      <c r="A399" s="412" t="str">
        <f>IF(Data!$D38="",",","    "&amp;Data!$N38&amp;",")</f>
        <v>,</v>
      </c>
      <c r="B399" s="412" t="str">
        <f>IF(Data!$D38="",""," ! Thermal Absorptance")</f>
        <v/>
      </c>
      <c r="C399" s="412"/>
      <c r="F399" s="412"/>
      <c r="G399" s="412"/>
    </row>
    <row r="400" spans="1:7">
      <c r="A400" s="412" t="str">
        <f>IF(Data!$D38="",",","    "&amp;Data!$O38&amp;",")</f>
        <v>,</v>
      </c>
      <c r="B400" s="412" t="str">
        <f>IF(Data!$D38="",""," ! Solar Absorptance")</f>
        <v/>
      </c>
      <c r="C400" s="412"/>
      <c r="F400" s="412"/>
      <c r="G400" s="412"/>
    </row>
    <row r="401" spans="1:7">
      <c r="A401" s="412" t="str">
        <f>IF(Data!$D38="",",","    "&amp;Data!$P38&amp;";")</f>
        <v>,</v>
      </c>
      <c r="B401" s="412" t="str">
        <f>IF(Data!$D38="",""," ! Visible Absorptance")</f>
        <v/>
      </c>
      <c r="C401" s="412"/>
      <c r="F401" s="412"/>
      <c r="G401" s="412"/>
    </row>
    <row r="402" spans="1:7">
      <c r="A402" s="412"/>
      <c r="B402" s="412"/>
      <c r="C402" s="412"/>
      <c r="F402" s="412"/>
      <c r="G402" s="412"/>
    </row>
    <row r="403" spans="1:7">
      <c r="A403" s="412" t="str">
        <f>IF(Data!$D39="","","Material,")</f>
        <v/>
      </c>
      <c r="B403" s="412" t="str">
        <f>IF(Data!$D39="",""," ! User material def'n from MATERIALS spreadsheet,")</f>
        <v/>
      </c>
      <c r="C403" s="412"/>
      <c r="F403" s="412"/>
      <c r="G403" s="412"/>
    </row>
    <row r="404" spans="1:7">
      <c r="A404" s="412" t="str">
        <f>IF(Data!$D39="","","    Matl "&amp;Data!$C39&amp;" "&amp;Data!$D39&amp;",")</f>
        <v/>
      </c>
      <c r="B404" s="412" t="str">
        <f>IF(Data!$D39="",""," ! under # ser material def'n from MATERIALS spreadsheet,")</f>
        <v/>
      </c>
      <c r="C404" s="412"/>
      <c r="F404" s="412"/>
      <c r="G404" s="412"/>
    </row>
    <row r="405" spans="1:7">
      <c r="A405" s="412" t="str">
        <f>IF(Data!$D39="",",","    "&amp;Data!$I39&amp;",")</f>
        <v>,</v>
      </c>
      <c r="B405" s="412" t="str">
        <f>IF(Data!$D39="",""," ! Roughness")</f>
        <v/>
      </c>
      <c r="C405" s="412"/>
      <c r="F405" s="412"/>
      <c r="G405" s="412"/>
    </row>
    <row r="406" spans="1:7">
      <c r="A406" s="412" t="str">
        <f>IF(Data!$D39="",",","    "&amp;Data!$J39/1000&amp;",")</f>
        <v>,</v>
      </c>
      <c r="B406" s="412" t="str">
        <f>IF(Data!$D39="",""," ! Thickness (m)")</f>
        <v/>
      </c>
      <c r="C406" s="412"/>
      <c r="F406" s="412"/>
      <c r="G406" s="412"/>
    </row>
    <row r="407" spans="1:7">
      <c r="A407" s="412" t="str">
        <f>IF(Data!$D39="",",","    "&amp;Data!$K39&amp;",")</f>
        <v>,</v>
      </c>
      <c r="B407" s="412" t="str">
        <f>IF(Data!$D39="",""," ! Conductivity (W/m-K)")</f>
        <v/>
      </c>
      <c r="C407" s="412"/>
      <c r="F407" s="412"/>
      <c r="G407" s="412"/>
    </row>
    <row r="408" spans="1:7">
      <c r="A408" s="412" t="str">
        <f>IF(Data!$D39="",",","    "&amp;Data!$L39&amp;",")</f>
        <v>,</v>
      </c>
      <c r="B408" s="412" t="str">
        <f>IF(Data!$D39="",""," ! Density kg/m3")</f>
        <v/>
      </c>
      <c r="C408" s="412"/>
      <c r="F408" s="412"/>
      <c r="G408" s="412"/>
    </row>
    <row r="409" spans="1:7">
      <c r="A409" s="412" t="str">
        <f>IF(Data!$D39="",",","    "&amp;Data!$M39&amp;",")</f>
        <v>,</v>
      </c>
      <c r="B409" s="412" t="str">
        <f>IF(Data!$D39="",""," ! Specific Heat (J/kg-K)")</f>
        <v/>
      </c>
      <c r="C409" s="412"/>
      <c r="F409" s="412"/>
      <c r="G409" s="412"/>
    </row>
    <row r="410" spans="1:7">
      <c r="A410" s="412" t="str">
        <f>IF(Data!$D39="",",","    "&amp;Data!$N39&amp;",")</f>
        <v>,</v>
      </c>
      <c r="B410" s="412" t="str">
        <f>IF(Data!$D39="",""," ! Thermal Absorptance")</f>
        <v/>
      </c>
      <c r="C410" s="412"/>
      <c r="F410" s="412"/>
      <c r="G410" s="412"/>
    </row>
    <row r="411" spans="1:7">
      <c r="A411" s="412" t="str">
        <f>IF(Data!$D39="",",","    "&amp;Data!$O39&amp;",")</f>
        <v>,</v>
      </c>
      <c r="B411" s="412" t="str">
        <f>IF(Data!$D39="",""," ! Solar Absorptance")</f>
        <v/>
      </c>
      <c r="C411" s="412"/>
      <c r="F411" s="412"/>
      <c r="G411" s="412"/>
    </row>
    <row r="412" spans="1:7">
      <c r="A412" s="412" t="str">
        <f>IF(Data!$D39="",",","    "&amp;Data!$P39&amp;";")</f>
        <v>,</v>
      </c>
      <c r="B412" s="412" t="str">
        <f>IF(Data!$D39="",""," ! Visible Absorptance")</f>
        <v/>
      </c>
      <c r="C412" s="412"/>
      <c r="F412" s="412"/>
      <c r="G412" s="412"/>
    </row>
    <row r="413" spans="1:7">
      <c r="A413" s="412"/>
      <c r="B413" s="412"/>
      <c r="C413" s="412"/>
      <c r="F413" s="412"/>
      <c r="G413" s="412"/>
    </row>
    <row r="414" spans="1:7">
      <c r="A414" s="412" t="str">
        <f>IF(Data!$D40="","","Material,")</f>
        <v/>
      </c>
      <c r="B414" s="412" t="str">
        <f>IF(Data!$D40="",""," ! User material def'n from MATERIALS spreadsheet,")</f>
        <v/>
      </c>
      <c r="C414" s="412"/>
      <c r="F414" s="412"/>
      <c r="G414" s="412"/>
    </row>
    <row r="415" spans="1:7">
      <c r="A415" s="412" t="str">
        <f>IF(Data!$D40="","","    Matl "&amp;Data!$C40&amp;" "&amp;Data!$D40&amp;",")</f>
        <v/>
      </c>
      <c r="B415" s="412" t="str">
        <f>IF(Data!$D40="",""," ! under # ser material def'n from MATERIALS spreadsheet,")</f>
        <v/>
      </c>
      <c r="C415" s="412"/>
      <c r="F415" s="412"/>
      <c r="G415" s="412"/>
    </row>
    <row r="416" spans="1:7">
      <c r="A416" s="412" t="str">
        <f>IF(Data!$D40="",",","    "&amp;Data!$I40&amp;",")</f>
        <v>,</v>
      </c>
      <c r="B416" s="412" t="str">
        <f>IF(Data!$D40="",""," ! Roughness")</f>
        <v/>
      </c>
      <c r="C416" s="412"/>
      <c r="F416" s="412"/>
      <c r="G416" s="412"/>
    </row>
    <row r="417" spans="1:7">
      <c r="A417" s="412" t="str">
        <f>IF(Data!$D40="",",","    "&amp;Data!$J40/1000&amp;",")</f>
        <v>,</v>
      </c>
      <c r="B417" s="412" t="str">
        <f>IF(Data!$D40="",""," ! Thickness (m)")</f>
        <v/>
      </c>
      <c r="C417" s="412"/>
      <c r="F417" s="412"/>
      <c r="G417" s="412"/>
    </row>
    <row r="418" spans="1:7">
      <c r="A418" s="412" t="str">
        <f>IF(Data!$D40="",",","    "&amp;Data!$K40&amp;",")</f>
        <v>,</v>
      </c>
      <c r="B418" s="412" t="str">
        <f>IF(Data!$D40="",""," ! Conductivity (W/m-K)")</f>
        <v/>
      </c>
      <c r="C418" s="412"/>
      <c r="F418" s="412"/>
      <c r="G418" s="412"/>
    </row>
    <row r="419" spans="1:7">
      <c r="A419" s="412" t="str">
        <f>IF(Data!$D40="",",","    "&amp;Data!$L40&amp;",")</f>
        <v>,</v>
      </c>
      <c r="B419" s="412" t="str">
        <f>IF(Data!$D40="",""," ! Density kg/m3")</f>
        <v/>
      </c>
      <c r="C419" s="412"/>
      <c r="F419" s="412"/>
      <c r="G419" s="412"/>
    </row>
    <row r="420" spans="1:7">
      <c r="A420" s="412" t="str">
        <f>IF(Data!$D40="",",","    "&amp;Data!$M40&amp;",")</f>
        <v>,</v>
      </c>
      <c r="B420" s="412" t="str">
        <f>IF(Data!$D40="",""," ! Specific Heat (J/kg-K)")</f>
        <v/>
      </c>
      <c r="C420" s="412"/>
      <c r="F420" s="412"/>
      <c r="G420" s="412"/>
    </row>
    <row r="421" spans="1:7">
      <c r="A421" s="412" t="str">
        <f>IF(Data!$D40="",",","    "&amp;Data!$N40&amp;",")</f>
        <v>,</v>
      </c>
      <c r="B421" s="412" t="str">
        <f>IF(Data!$D40="",""," ! Thermal Absorptance")</f>
        <v/>
      </c>
      <c r="C421" s="412"/>
      <c r="F421" s="412"/>
      <c r="G421" s="412"/>
    </row>
    <row r="422" spans="1:7">
      <c r="A422" s="412" t="str">
        <f>IF(Data!$D40="",",","    "&amp;Data!$O40&amp;",")</f>
        <v>,</v>
      </c>
      <c r="B422" s="412" t="str">
        <f>IF(Data!$D40="",""," ! Solar Absorptance")</f>
        <v/>
      </c>
      <c r="C422" s="412"/>
      <c r="F422" s="412"/>
      <c r="G422" s="412"/>
    </row>
    <row r="423" spans="1:7">
      <c r="A423" s="412" t="str">
        <f>IF(Data!$D40="",",","    "&amp;Data!$P40&amp;";")</f>
        <v>,</v>
      </c>
      <c r="B423" s="412" t="str">
        <f>IF(Data!$D40="",""," ! Visible Absorptance")</f>
        <v/>
      </c>
      <c r="C423" s="412"/>
      <c r="F423" s="412"/>
      <c r="G423" s="412"/>
    </row>
    <row r="424" spans="1:7">
      <c r="A424" s="412"/>
      <c r="B424" s="412"/>
      <c r="C424" s="412"/>
      <c r="F424" s="412"/>
      <c r="G424" s="412"/>
    </row>
    <row r="425" spans="1:7">
      <c r="A425" s="412" t="str">
        <f>IF(Data!$D41="","","Material,")</f>
        <v/>
      </c>
      <c r="B425" s="412" t="str">
        <f>IF(Data!$D41="",""," ! User material def'n from MATERIALS spreadsheet,")</f>
        <v/>
      </c>
      <c r="C425" s="412"/>
      <c r="F425" s="412"/>
      <c r="G425" s="412"/>
    </row>
    <row r="426" spans="1:7">
      <c r="A426" s="412" t="str">
        <f>IF(Data!$D41="","","    Matl "&amp;Data!$C41&amp;" "&amp;Data!$D41&amp;",")</f>
        <v/>
      </c>
      <c r="B426" s="412" t="str">
        <f>IF(Data!$D41="",""," ! under # ser material def'n from MATERIALS spreadsheet,")</f>
        <v/>
      </c>
      <c r="C426" s="412"/>
      <c r="F426" s="412"/>
      <c r="G426" s="412"/>
    </row>
    <row r="427" spans="1:7">
      <c r="A427" s="412" t="str">
        <f>IF(Data!$D41="",",","    "&amp;Data!$I41&amp;",")</f>
        <v>,</v>
      </c>
      <c r="B427" s="412" t="str">
        <f>IF(Data!$D41="",""," ! Roughness")</f>
        <v/>
      </c>
      <c r="C427" s="412"/>
      <c r="F427" s="412"/>
      <c r="G427" s="412"/>
    </row>
    <row r="428" spans="1:7">
      <c r="A428" s="412" t="str">
        <f>IF(Data!$D41="",",","    "&amp;Data!$J41/1000&amp;",")</f>
        <v>,</v>
      </c>
      <c r="B428" s="412" t="str">
        <f>IF(Data!$D41="",""," ! Thickness (m)")</f>
        <v/>
      </c>
      <c r="C428" s="412"/>
      <c r="F428" s="412"/>
      <c r="G428" s="412"/>
    </row>
    <row r="429" spans="1:7">
      <c r="A429" s="412" t="str">
        <f>IF(Data!$D41="",",","    "&amp;Data!$K41&amp;",")</f>
        <v>,</v>
      </c>
      <c r="B429" s="412" t="str">
        <f>IF(Data!$D41="",""," ! Conductivity (W/m-K)")</f>
        <v/>
      </c>
      <c r="C429" s="412"/>
      <c r="F429" s="412"/>
      <c r="G429" s="412"/>
    </row>
    <row r="430" spans="1:7">
      <c r="A430" s="412" t="str">
        <f>IF(Data!$D41="",",","    "&amp;Data!$L41&amp;",")</f>
        <v>,</v>
      </c>
      <c r="B430" s="412" t="str">
        <f>IF(Data!$D41="",""," ! Density kg/m3")</f>
        <v/>
      </c>
      <c r="C430" s="412"/>
      <c r="F430" s="412"/>
      <c r="G430" s="412"/>
    </row>
    <row r="431" spans="1:7">
      <c r="A431" s="412" t="str">
        <f>IF(Data!$D41="",",","    "&amp;Data!$M41&amp;",")</f>
        <v>,</v>
      </c>
      <c r="B431" s="412" t="str">
        <f>IF(Data!$D41="",""," ! Specific Heat (J/kg-K)")</f>
        <v/>
      </c>
      <c r="C431" s="412"/>
      <c r="F431" s="412"/>
      <c r="G431" s="412"/>
    </row>
    <row r="432" spans="1:7">
      <c r="A432" s="412" t="str">
        <f>IF(Data!$D41="",",","    "&amp;Data!$N41&amp;",")</f>
        <v>,</v>
      </c>
      <c r="B432" s="412" t="str">
        <f>IF(Data!$D41="",""," ! Thermal Absorptance")</f>
        <v/>
      </c>
      <c r="C432" s="412"/>
      <c r="F432" s="412"/>
      <c r="G432" s="412"/>
    </row>
    <row r="433" spans="1:7">
      <c r="A433" s="412" t="str">
        <f>IF(Data!$D41="",",","    "&amp;Data!$O41&amp;",")</f>
        <v>,</v>
      </c>
      <c r="B433" s="412" t="str">
        <f>IF(Data!$D41="",""," ! Solar Absorptance")</f>
        <v/>
      </c>
      <c r="C433" s="412"/>
      <c r="F433" s="412"/>
      <c r="G433" s="412"/>
    </row>
    <row r="434" spans="1:7">
      <c r="A434" s="412" t="str">
        <f>IF(Data!$D41="",",","    "&amp;Data!$P41&amp;";")</f>
        <v>,</v>
      </c>
      <c r="B434" s="412" t="str">
        <f>IF(Data!$D41="",""," ! Visible Absorptance")</f>
        <v/>
      </c>
      <c r="C434" s="412"/>
      <c r="F434" s="412"/>
      <c r="G434" s="412"/>
    </row>
    <row r="435" spans="1:7">
      <c r="A435" s="412"/>
      <c r="B435" s="412"/>
      <c r="C435" s="412"/>
      <c r="F435" s="412"/>
      <c r="G435" s="412"/>
    </row>
    <row r="436" spans="1:7">
      <c r="A436" s="412" t="str">
        <f>IF(Data!$D42="","","Material,")</f>
        <v/>
      </c>
      <c r="B436" s="412" t="str">
        <f>IF(Data!$D42="",""," ! User material def'n from MATERIALS spreadsheet,")</f>
        <v/>
      </c>
      <c r="C436" s="412"/>
      <c r="F436" s="412"/>
      <c r="G436" s="412"/>
    </row>
    <row r="437" spans="1:7">
      <c r="A437" s="412" t="str">
        <f>IF(Data!$D42="","","    Matl "&amp;Data!$C42&amp;" "&amp;Data!$D42&amp;",")</f>
        <v/>
      </c>
      <c r="B437" s="412" t="str">
        <f>IF(Data!$D42="",""," ! under # ser material def'n from MATERIALS spreadsheet,")</f>
        <v/>
      </c>
      <c r="C437" s="412"/>
      <c r="F437" s="412"/>
      <c r="G437" s="412"/>
    </row>
    <row r="438" spans="1:7">
      <c r="A438" s="412" t="str">
        <f>IF(Data!$D42="",",","    "&amp;Data!$I42&amp;",")</f>
        <v>,</v>
      </c>
      <c r="B438" s="412" t="str">
        <f>IF(Data!$D42="",""," ! Roughness")</f>
        <v/>
      </c>
      <c r="C438" s="412"/>
      <c r="F438" s="412"/>
      <c r="G438" s="412"/>
    </row>
    <row r="439" spans="1:7">
      <c r="A439" s="412" t="str">
        <f>IF(Data!$D42="",",","    "&amp;Data!$J42/1000&amp;",")</f>
        <v>,</v>
      </c>
      <c r="B439" s="412" t="str">
        <f>IF(Data!$D42="",""," ! Thickness (m)")</f>
        <v/>
      </c>
      <c r="C439" s="412"/>
      <c r="F439" s="412"/>
      <c r="G439" s="412"/>
    </row>
    <row r="440" spans="1:7">
      <c r="A440" s="412" t="str">
        <f>IF(Data!$D42="",",","    "&amp;Data!$K42&amp;",")</f>
        <v>,</v>
      </c>
      <c r="B440" s="412" t="str">
        <f>IF(Data!$D42="",""," ! Conductivity (W/m-K)")</f>
        <v/>
      </c>
      <c r="C440" s="412"/>
      <c r="F440" s="412"/>
      <c r="G440" s="412"/>
    </row>
    <row r="441" spans="1:7">
      <c r="A441" s="412" t="str">
        <f>IF(Data!$D42="",",","    "&amp;Data!$L42&amp;",")</f>
        <v>,</v>
      </c>
      <c r="B441" s="412" t="str">
        <f>IF(Data!$D42="",""," ! Density kg/m3")</f>
        <v/>
      </c>
      <c r="C441" s="412"/>
      <c r="F441" s="412"/>
      <c r="G441" s="412"/>
    </row>
    <row r="442" spans="1:7">
      <c r="A442" s="412" t="str">
        <f>IF(Data!$D42="",",","    "&amp;Data!$M42&amp;",")</f>
        <v>,</v>
      </c>
      <c r="B442" s="412" t="str">
        <f>IF(Data!$D42="",""," ! Specific Heat (J/kg-K)")</f>
        <v/>
      </c>
      <c r="C442" s="412"/>
      <c r="F442" s="412"/>
      <c r="G442" s="412"/>
    </row>
    <row r="443" spans="1:7">
      <c r="A443" s="412" t="str">
        <f>IF(Data!$D42="",",","    "&amp;Data!$N42&amp;",")</f>
        <v>,</v>
      </c>
      <c r="B443" s="412" t="str">
        <f>IF(Data!$D42="",""," ! Thermal Absorptance")</f>
        <v/>
      </c>
      <c r="C443" s="412"/>
      <c r="F443" s="412"/>
      <c r="G443" s="412"/>
    </row>
    <row r="444" spans="1:7">
      <c r="A444" s="412" t="str">
        <f>IF(Data!$D42="",",","    "&amp;Data!$O42&amp;",")</f>
        <v>,</v>
      </c>
      <c r="B444" s="412" t="str">
        <f>IF(Data!$D42="",""," ! Solar Absorptance")</f>
        <v/>
      </c>
      <c r="C444" s="412"/>
      <c r="F444" s="412"/>
      <c r="G444" s="412"/>
    </row>
    <row r="445" spans="1:7">
      <c r="A445" s="412" t="str">
        <f>IF(Data!$D42="",",","    "&amp;Data!$P42&amp;";")</f>
        <v>,</v>
      </c>
      <c r="B445" s="412" t="str">
        <f>IF(Data!$D42="",""," ! Visible Absorptance")</f>
        <v/>
      </c>
      <c r="C445" s="412"/>
      <c r="F445" s="412"/>
      <c r="G445" s="412"/>
    </row>
    <row r="446" spans="1:7">
      <c r="A446" s="412"/>
      <c r="B446" s="412"/>
      <c r="C446" s="412"/>
      <c r="F446" s="412"/>
      <c r="G446" s="412"/>
    </row>
    <row r="447" spans="1:7">
      <c r="A447" s="412" t="str">
        <f>IF(Data!$D43="","","Material,")</f>
        <v/>
      </c>
      <c r="B447" s="412" t="str">
        <f>IF(Data!$D43="",""," ! User material def'n from MATERIALS spreadsheet,")</f>
        <v/>
      </c>
      <c r="C447" s="412"/>
      <c r="F447" s="412"/>
      <c r="G447" s="412"/>
    </row>
    <row r="448" spans="1:7">
      <c r="A448" s="412" t="str">
        <f>IF(Data!$D43="","","    Matl "&amp;Data!$C43&amp;" "&amp;Data!$D43&amp;",")</f>
        <v/>
      </c>
      <c r="B448" s="412" t="str">
        <f>IF(Data!$D43="",""," ! under # ser material def'n from MATERIALS spreadsheet,")</f>
        <v/>
      </c>
      <c r="C448" s="412"/>
      <c r="F448" s="412"/>
      <c r="G448" s="412"/>
    </row>
    <row r="449" spans="1:7">
      <c r="A449" s="412" t="str">
        <f>IF(Data!$D43="",",","    "&amp;Data!$I43&amp;",")</f>
        <v>,</v>
      </c>
      <c r="B449" s="412" t="str">
        <f>IF(Data!$D43="",""," ! Roughness")</f>
        <v/>
      </c>
      <c r="C449" s="412"/>
      <c r="F449" s="412"/>
      <c r="G449" s="412"/>
    </row>
    <row r="450" spans="1:7">
      <c r="A450" s="412" t="str">
        <f>IF(Data!$D43="",",","    "&amp;Data!$J43/1000&amp;",")</f>
        <v>,</v>
      </c>
      <c r="B450" s="412" t="str">
        <f>IF(Data!$D43="",""," ! Thickness (m)")</f>
        <v/>
      </c>
      <c r="C450" s="412"/>
      <c r="F450" s="412"/>
      <c r="G450" s="412"/>
    </row>
    <row r="451" spans="1:7">
      <c r="A451" s="412" t="str">
        <f>IF(Data!$D43="",",","    "&amp;Data!$K43&amp;",")</f>
        <v>,</v>
      </c>
      <c r="B451" s="412" t="str">
        <f>IF(Data!$D43="",""," ! Conductivity (W/m-K)")</f>
        <v/>
      </c>
      <c r="C451" s="412"/>
      <c r="F451" s="412"/>
      <c r="G451" s="412"/>
    </row>
    <row r="452" spans="1:7">
      <c r="A452" s="412" t="str">
        <f>IF(Data!$D43="",",","    "&amp;Data!$L43&amp;",")</f>
        <v>,</v>
      </c>
      <c r="B452" s="412" t="str">
        <f>IF(Data!$D43="",""," ! Density kg/m3")</f>
        <v/>
      </c>
      <c r="C452" s="412"/>
      <c r="F452" s="412"/>
      <c r="G452" s="412"/>
    </row>
    <row r="453" spans="1:7">
      <c r="A453" s="412" t="str">
        <f>IF(Data!$D43="",",","    "&amp;Data!$M43&amp;",")</f>
        <v>,</v>
      </c>
      <c r="B453" s="412" t="str">
        <f>IF(Data!$D43="",""," ! Specific Heat (J/kg-K)")</f>
        <v/>
      </c>
      <c r="C453" s="412"/>
      <c r="F453" s="412"/>
      <c r="G453" s="412"/>
    </row>
    <row r="454" spans="1:7">
      <c r="A454" s="412" t="str">
        <f>IF(Data!$D43="",",","    "&amp;Data!$N43&amp;",")</f>
        <v>,</v>
      </c>
      <c r="B454" s="412" t="str">
        <f>IF(Data!$D43="",""," ! Thermal Absorptance")</f>
        <v/>
      </c>
      <c r="C454" s="412"/>
      <c r="F454" s="412"/>
      <c r="G454" s="412"/>
    </row>
    <row r="455" spans="1:7">
      <c r="A455" s="412" t="str">
        <f>IF(Data!$D43="",",","    "&amp;Data!$O43&amp;",")</f>
        <v>,</v>
      </c>
      <c r="B455" s="412" t="str">
        <f>IF(Data!$D43="",""," ! Solar Absorptance")</f>
        <v/>
      </c>
      <c r="C455" s="412"/>
      <c r="F455" s="412"/>
      <c r="G455" s="412"/>
    </row>
    <row r="456" spans="1:7">
      <c r="A456" s="412" t="str">
        <f>IF(Data!$D43="",",","    "&amp;Data!$P43&amp;";")</f>
        <v>,</v>
      </c>
      <c r="B456" s="412" t="str">
        <f>IF(Data!$D43="",""," ! Visible Absorptance")</f>
        <v/>
      </c>
      <c r="C456" s="412"/>
      <c r="F456" s="412"/>
      <c r="G456" s="412"/>
    </row>
    <row r="457" spans="1:7">
      <c r="A457" s="412"/>
      <c r="B457" s="412"/>
      <c r="C457" s="412"/>
      <c r="F457" s="412"/>
      <c r="G457" s="412"/>
    </row>
    <row r="458" spans="1:7">
      <c r="A458" s="412" t="str">
        <f>IF(Data!$D44="","","Material,")</f>
        <v/>
      </c>
      <c r="B458" s="412" t="str">
        <f>IF(Data!$D44="",""," ! User material def'n from MATERIALS spreadsheet,")</f>
        <v/>
      </c>
      <c r="C458" s="412"/>
      <c r="F458" s="412"/>
      <c r="G458" s="412"/>
    </row>
    <row r="459" spans="1:7">
      <c r="A459" s="412" t="str">
        <f>IF(Data!$D44="","","    Matl "&amp;Data!$C44&amp;" "&amp;Data!$D44&amp;",")</f>
        <v/>
      </c>
      <c r="B459" s="412" t="str">
        <f>IF(Data!$D44="",""," ! under # ser material def'n from MATERIALS spreadsheet,")</f>
        <v/>
      </c>
      <c r="C459" s="412"/>
      <c r="F459" s="412"/>
      <c r="G459" s="412"/>
    </row>
    <row r="460" spans="1:7">
      <c r="A460" s="412" t="str">
        <f>IF(Data!$D44="",",","    "&amp;Data!$I44&amp;",")</f>
        <v>,</v>
      </c>
      <c r="B460" s="412" t="str">
        <f>IF(Data!$D44="",""," ! Roughness")</f>
        <v/>
      </c>
      <c r="C460" s="412"/>
      <c r="F460" s="412"/>
      <c r="G460" s="412"/>
    </row>
    <row r="461" spans="1:7">
      <c r="A461" s="412" t="str">
        <f>IF(Data!$D44="",",","    "&amp;Data!$J44/1000&amp;",")</f>
        <v>,</v>
      </c>
      <c r="B461" s="412" t="str">
        <f>IF(Data!$D44="",""," ! Thickness (m)")</f>
        <v/>
      </c>
      <c r="C461" s="412"/>
      <c r="F461" s="412"/>
      <c r="G461" s="412"/>
    </row>
    <row r="462" spans="1:7">
      <c r="A462" s="412" t="str">
        <f>IF(Data!$D44="",",","    "&amp;Data!$K44&amp;",")</f>
        <v>,</v>
      </c>
      <c r="B462" s="412" t="str">
        <f>IF(Data!$D44="",""," ! Conductivity (W/m-K)")</f>
        <v/>
      </c>
      <c r="C462" s="412"/>
      <c r="F462" s="412"/>
      <c r="G462" s="412"/>
    </row>
    <row r="463" spans="1:7">
      <c r="A463" s="412" t="str">
        <f>IF(Data!$D44="",",","    "&amp;Data!$L44&amp;",")</f>
        <v>,</v>
      </c>
      <c r="B463" s="412" t="str">
        <f>IF(Data!$D44="",""," ! Density kg/m3")</f>
        <v/>
      </c>
      <c r="C463" s="412"/>
      <c r="F463" s="412"/>
      <c r="G463" s="412"/>
    </row>
    <row r="464" spans="1:7">
      <c r="A464" s="412" t="str">
        <f>IF(Data!$D44="",",","    "&amp;Data!$M44&amp;",")</f>
        <v>,</v>
      </c>
      <c r="B464" s="412" t="str">
        <f>IF(Data!$D44="",""," ! Specific Heat (J/kg-K)")</f>
        <v/>
      </c>
      <c r="C464" s="412"/>
      <c r="F464" s="412"/>
      <c r="G464" s="412"/>
    </row>
    <row r="465" spans="1:7">
      <c r="A465" s="412" t="str">
        <f>IF(Data!$D44="",",","    "&amp;Data!$N44&amp;",")</f>
        <v>,</v>
      </c>
      <c r="B465" s="412" t="str">
        <f>IF(Data!$D44="",""," ! Thermal Absorptance")</f>
        <v/>
      </c>
      <c r="C465" s="412"/>
      <c r="F465" s="412"/>
      <c r="G465" s="412"/>
    </row>
    <row r="466" spans="1:7">
      <c r="A466" s="412" t="str">
        <f>IF(Data!$D44="",",","    "&amp;Data!$O44&amp;",")</f>
        <v>,</v>
      </c>
      <c r="B466" s="412" t="str">
        <f>IF(Data!$D44="",""," ! Solar Absorptance")</f>
        <v/>
      </c>
      <c r="C466" s="412"/>
      <c r="F466" s="412"/>
      <c r="G466" s="412"/>
    </row>
    <row r="467" spans="1:7">
      <c r="A467" s="412" t="str">
        <f>IF(Data!$D44="",",","    "&amp;Data!$P44&amp;";")</f>
        <v>,</v>
      </c>
      <c r="B467" s="412" t="str">
        <f>IF(Data!$D44="",""," ! Visible Absorptance")</f>
        <v/>
      </c>
      <c r="C467" s="412"/>
      <c r="F467" s="412"/>
      <c r="G467" s="412"/>
    </row>
    <row r="468" spans="1:7">
      <c r="A468" s="412"/>
      <c r="B468" s="412"/>
      <c r="C468" s="412"/>
      <c r="F468" s="412"/>
      <c r="G468" s="412"/>
    </row>
    <row r="469" spans="1:7">
      <c r="A469" s="412" t="str">
        <f>IF(Data!$D45="","","Material,")</f>
        <v/>
      </c>
      <c r="B469" s="412" t="str">
        <f>IF(Data!$D45="",""," ! User material def'n from MATERIALS spreadsheet,")</f>
        <v/>
      </c>
      <c r="C469" s="412"/>
      <c r="F469" s="412"/>
      <c r="G469" s="412"/>
    </row>
    <row r="470" spans="1:7">
      <c r="A470" s="412" t="str">
        <f>IF(Data!$D45="","","    Matl "&amp;Data!$C45&amp;" "&amp;Data!$D45&amp;",")</f>
        <v/>
      </c>
      <c r="B470" s="412" t="str">
        <f>IF(Data!$D45="",""," ! under # ser material def'n from MATERIALS spreadsheet,")</f>
        <v/>
      </c>
      <c r="C470" s="412"/>
      <c r="F470" s="412"/>
      <c r="G470" s="412"/>
    </row>
    <row r="471" spans="1:7">
      <c r="A471" s="412" t="str">
        <f>IF(Data!$D45="",",","    "&amp;Data!$I45&amp;",")</f>
        <v>,</v>
      </c>
      <c r="B471" s="412" t="str">
        <f>IF(Data!$D45="",""," ! Roughness")</f>
        <v/>
      </c>
      <c r="C471" s="412"/>
      <c r="F471" s="412"/>
      <c r="G471" s="412"/>
    </row>
    <row r="472" spans="1:7">
      <c r="A472" s="412" t="str">
        <f>IF(Data!$D45="",",","    "&amp;Data!$J45/1000&amp;",")</f>
        <v>,</v>
      </c>
      <c r="B472" s="412" t="str">
        <f>IF(Data!$D45="",""," ! Thickness (m)")</f>
        <v/>
      </c>
      <c r="C472" s="412"/>
      <c r="F472" s="412"/>
      <c r="G472" s="412"/>
    </row>
    <row r="473" spans="1:7">
      <c r="A473" s="412" t="str">
        <f>IF(Data!$D45="",",","    "&amp;Data!$K45&amp;",")</f>
        <v>,</v>
      </c>
      <c r="B473" s="412" t="str">
        <f>IF(Data!$D45="",""," ! Conductivity (W/m-K)")</f>
        <v/>
      </c>
      <c r="C473" s="412"/>
      <c r="F473" s="412"/>
      <c r="G473" s="412"/>
    </row>
    <row r="474" spans="1:7">
      <c r="A474" s="412" t="str">
        <f>IF(Data!$D45="",",","    "&amp;Data!$L45&amp;",")</f>
        <v>,</v>
      </c>
      <c r="B474" s="412" t="str">
        <f>IF(Data!$D45="",""," ! Density kg/m3")</f>
        <v/>
      </c>
      <c r="C474" s="412"/>
      <c r="F474" s="412"/>
      <c r="G474" s="412"/>
    </row>
    <row r="475" spans="1:7">
      <c r="A475" s="412" t="str">
        <f>IF(Data!$D45="",",","    "&amp;Data!$M45&amp;",")</f>
        <v>,</v>
      </c>
      <c r="B475" s="412" t="str">
        <f>IF(Data!$D45="",""," ! Specific Heat (J/kg-K)")</f>
        <v/>
      </c>
      <c r="C475" s="412"/>
      <c r="F475" s="412"/>
      <c r="G475" s="412"/>
    </row>
    <row r="476" spans="1:7">
      <c r="A476" s="412" t="str">
        <f>IF(Data!$D45="",",","    "&amp;Data!$N45&amp;",")</f>
        <v>,</v>
      </c>
      <c r="B476" s="412" t="str">
        <f>IF(Data!$D45="",""," ! Thermal Absorptance")</f>
        <v/>
      </c>
      <c r="C476" s="412"/>
      <c r="F476" s="412"/>
      <c r="G476" s="412"/>
    </row>
    <row r="477" spans="1:7">
      <c r="A477" s="412" t="str">
        <f>IF(Data!$D45="",",","    "&amp;Data!$O45&amp;",")</f>
        <v>,</v>
      </c>
      <c r="B477" s="412" t="str">
        <f>IF(Data!$D45="",""," ! Solar Absorptance")</f>
        <v/>
      </c>
      <c r="C477" s="412"/>
      <c r="F477" s="412"/>
      <c r="G477" s="412"/>
    </row>
    <row r="478" spans="1:7">
      <c r="A478" s="412" t="str">
        <f>IF(Data!$D45="",",","    "&amp;Data!$P45&amp;";")</f>
        <v>,</v>
      </c>
      <c r="B478" s="412" t="str">
        <f>IF(Data!$D45="",""," ! Visible Absorptance")</f>
        <v/>
      </c>
      <c r="C478" s="412"/>
      <c r="F478" s="412"/>
      <c r="G478" s="412"/>
    </row>
    <row r="479" spans="1:7">
      <c r="A479" s="412"/>
      <c r="B479" s="412"/>
      <c r="C479" s="412"/>
      <c r="F479" s="412"/>
      <c r="G479" s="412"/>
    </row>
    <row r="480" spans="1:7">
      <c r="A480" s="412" t="str">
        <f>IF(Data!$D46="","","Material,")</f>
        <v/>
      </c>
      <c r="B480" s="412" t="str">
        <f>IF(Data!$D46="",""," ! User material def'n from MATERIALS spreadsheet,")</f>
        <v/>
      </c>
      <c r="C480" s="412"/>
      <c r="F480" s="412"/>
      <c r="G480" s="412"/>
    </row>
    <row r="481" spans="1:7">
      <c r="A481" s="412" t="str">
        <f>IF(Data!$D46="","","    Matl "&amp;Data!$C46&amp;" "&amp;Data!$D46&amp;",")</f>
        <v/>
      </c>
      <c r="B481" s="412" t="str">
        <f>IF(Data!$D46="",""," ! under # ser material def'n from MATERIALS spreadsheet,")</f>
        <v/>
      </c>
      <c r="C481" s="412"/>
      <c r="F481" s="412"/>
      <c r="G481" s="412"/>
    </row>
    <row r="482" spans="1:7">
      <c r="A482" s="412" t="str">
        <f>IF(Data!$D46="",",","    "&amp;Data!$I46&amp;",")</f>
        <v>,</v>
      </c>
      <c r="B482" s="412" t="str">
        <f>IF(Data!$D46="",""," ! Roughness")</f>
        <v/>
      </c>
      <c r="C482" s="412"/>
      <c r="F482" s="412"/>
      <c r="G482" s="412"/>
    </row>
    <row r="483" spans="1:7">
      <c r="A483" s="412" t="str">
        <f>IF(Data!$D46="",",","    "&amp;Data!$J46/1000&amp;",")</f>
        <v>,</v>
      </c>
      <c r="B483" s="412" t="str">
        <f>IF(Data!$D46="",""," ! Thickness (m)")</f>
        <v/>
      </c>
      <c r="C483" s="412"/>
      <c r="F483" s="412"/>
      <c r="G483" s="412"/>
    </row>
    <row r="484" spans="1:7">
      <c r="A484" s="412" t="str">
        <f>IF(Data!$D46="",",","    "&amp;Data!$K46&amp;",")</f>
        <v>,</v>
      </c>
      <c r="B484" s="412" t="str">
        <f>IF(Data!$D46="",""," ! Conductivity (W/m-K)")</f>
        <v/>
      </c>
      <c r="C484" s="412"/>
      <c r="F484" s="412"/>
      <c r="G484" s="412"/>
    </row>
    <row r="485" spans="1:7">
      <c r="A485" s="412" t="str">
        <f>IF(Data!$D46="",",","    "&amp;Data!$L46&amp;",")</f>
        <v>,</v>
      </c>
      <c r="B485" s="412" t="str">
        <f>IF(Data!$D46="",""," ! Density kg/m3")</f>
        <v/>
      </c>
      <c r="C485" s="412"/>
      <c r="F485" s="412"/>
      <c r="G485" s="412"/>
    </row>
    <row r="486" spans="1:7">
      <c r="A486" s="412" t="str">
        <f>IF(Data!$D46="",",","    "&amp;Data!$M46&amp;",")</f>
        <v>,</v>
      </c>
      <c r="B486" s="412" t="str">
        <f>IF(Data!$D46="",""," ! Specific Heat (J/kg-K)")</f>
        <v/>
      </c>
      <c r="C486" s="412"/>
      <c r="F486" s="412"/>
      <c r="G486" s="412"/>
    </row>
    <row r="487" spans="1:7">
      <c r="A487" s="412" t="str">
        <f>IF(Data!$D46="",",","    "&amp;Data!$N46&amp;",")</f>
        <v>,</v>
      </c>
      <c r="B487" s="412" t="str">
        <f>IF(Data!$D46="",""," ! Thermal Absorptance")</f>
        <v/>
      </c>
      <c r="C487" s="412"/>
      <c r="F487" s="412"/>
      <c r="G487" s="412"/>
    </row>
    <row r="488" spans="1:7">
      <c r="A488" s="412" t="str">
        <f>IF(Data!$D46="",",","    "&amp;Data!$O46&amp;",")</f>
        <v>,</v>
      </c>
      <c r="B488" s="412" t="str">
        <f>IF(Data!$D46="",""," ! Solar Absorptance")</f>
        <v/>
      </c>
      <c r="C488" s="412"/>
      <c r="F488" s="412"/>
      <c r="G488" s="412"/>
    </row>
    <row r="489" spans="1:7">
      <c r="A489" s="412" t="str">
        <f>IF(Data!$D46="",",","    "&amp;Data!$P46&amp;";")</f>
        <v>,</v>
      </c>
      <c r="B489" s="412" t="str">
        <f>IF(Data!$D46="",""," ! Visible Absorptance")</f>
        <v/>
      </c>
      <c r="C489" s="412"/>
      <c r="F489" s="412"/>
      <c r="G489" s="412"/>
    </row>
    <row r="490" spans="1:7">
      <c r="A490" s="412"/>
      <c r="B490" s="412"/>
      <c r="C490" s="412"/>
      <c r="F490" s="412"/>
      <c r="G490" s="412"/>
    </row>
    <row r="491" spans="1:7">
      <c r="A491" s="412" t="str">
        <f>IF(Data!$D47="","","Material,")</f>
        <v/>
      </c>
      <c r="B491" s="412" t="str">
        <f>IF(Data!$D47="",""," ! User material def'n from MATERIALS spreadsheet,")</f>
        <v/>
      </c>
      <c r="C491" s="412"/>
      <c r="F491" s="412"/>
      <c r="G491" s="412"/>
    </row>
    <row r="492" spans="1:7">
      <c r="A492" s="412" t="str">
        <f>IF(Data!$D47="","","    Matl "&amp;Data!$C47&amp;" "&amp;Data!$D47&amp;",")</f>
        <v/>
      </c>
      <c r="B492" s="412" t="str">
        <f>IF(Data!$D47="",""," ! under # ser material def'n from MATERIALS spreadsheet,")</f>
        <v/>
      </c>
      <c r="C492" s="412"/>
      <c r="F492" s="412"/>
      <c r="G492" s="412"/>
    </row>
    <row r="493" spans="1:7">
      <c r="A493" s="412" t="str">
        <f>IF(Data!$D47="",",","    "&amp;Data!$I47&amp;",")</f>
        <v>,</v>
      </c>
      <c r="B493" s="412" t="str">
        <f>IF(Data!$D47="",""," ! Roughness")</f>
        <v/>
      </c>
      <c r="C493" s="412"/>
      <c r="F493" s="412"/>
      <c r="G493" s="412"/>
    </row>
    <row r="494" spans="1:7">
      <c r="A494" s="412" t="str">
        <f>IF(Data!$D47="",",","    "&amp;Data!$J47/1000&amp;",")</f>
        <v>,</v>
      </c>
      <c r="B494" s="412" t="str">
        <f>IF(Data!$D47="",""," ! Thickness (m)")</f>
        <v/>
      </c>
      <c r="C494" s="412"/>
      <c r="F494" s="412"/>
      <c r="G494" s="412"/>
    </row>
    <row r="495" spans="1:7">
      <c r="A495" s="412" t="str">
        <f>IF(Data!$D47="",",","    "&amp;Data!$K47&amp;",")</f>
        <v>,</v>
      </c>
      <c r="B495" s="412" t="str">
        <f>IF(Data!$D47="",""," ! Conductivity (W/m-K)")</f>
        <v/>
      </c>
      <c r="C495" s="412"/>
      <c r="F495" s="412"/>
      <c r="G495" s="412"/>
    </row>
    <row r="496" spans="1:7">
      <c r="A496" s="412" t="str">
        <f>IF(Data!$D47="",",","    "&amp;Data!$L47&amp;",")</f>
        <v>,</v>
      </c>
      <c r="B496" s="412" t="str">
        <f>IF(Data!$D47="",""," ! Density kg/m3")</f>
        <v/>
      </c>
      <c r="C496" s="412"/>
      <c r="F496" s="412"/>
      <c r="G496" s="412"/>
    </row>
    <row r="497" spans="1:7">
      <c r="A497" s="412" t="str">
        <f>IF(Data!$D47="",",","    "&amp;Data!$M47&amp;",")</f>
        <v>,</v>
      </c>
      <c r="B497" s="412" t="str">
        <f>IF(Data!$D47="",""," ! Specific Heat (J/kg-K)")</f>
        <v/>
      </c>
      <c r="C497" s="412"/>
      <c r="F497" s="412"/>
      <c r="G497" s="412"/>
    </row>
    <row r="498" spans="1:7">
      <c r="A498" s="412" t="str">
        <f>IF(Data!$D47="",",","    "&amp;Data!$N47&amp;",")</f>
        <v>,</v>
      </c>
      <c r="B498" s="412" t="str">
        <f>IF(Data!$D47="",""," ! Thermal Absorptance")</f>
        <v/>
      </c>
      <c r="C498" s="412"/>
      <c r="F498" s="412"/>
      <c r="G498" s="412"/>
    </row>
    <row r="499" spans="1:7">
      <c r="A499" s="412" t="str">
        <f>IF(Data!$D47="",",","    "&amp;Data!$O47&amp;",")</f>
        <v>,</v>
      </c>
      <c r="B499" s="412" t="str">
        <f>IF(Data!$D47="",""," ! Solar Absorptance")</f>
        <v/>
      </c>
      <c r="C499" s="412"/>
      <c r="F499" s="412"/>
      <c r="G499" s="412"/>
    </row>
    <row r="500" spans="1:7">
      <c r="A500" s="412" t="str">
        <f>IF(Data!$D47="",",","    "&amp;Data!$P47&amp;";")</f>
        <v>,</v>
      </c>
      <c r="B500" s="412" t="str">
        <f>IF(Data!$D47="",""," ! Visible Absorptance")</f>
        <v/>
      </c>
      <c r="C500" s="412"/>
      <c r="F500" s="412"/>
      <c r="G500" s="412"/>
    </row>
    <row r="501" spans="1:7">
      <c r="A501" s="412"/>
      <c r="B501" s="412"/>
      <c r="C501" s="412"/>
      <c r="F501" s="412"/>
      <c r="G501" s="412"/>
    </row>
    <row r="502" spans="1:7">
      <c r="A502" s="412" t="str">
        <f>IF(Data!$D48="","","Material,")</f>
        <v/>
      </c>
      <c r="B502" s="412" t="str">
        <f>IF(Data!$D48="",""," ! User material def'n from MATERIALS spreadsheet,")</f>
        <v/>
      </c>
      <c r="C502" s="412"/>
      <c r="F502" s="412"/>
      <c r="G502" s="412"/>
    </row>
    <row r="503" spans="1:7">
      <c r="A503" s="412" t="str">
        <f>IF(Data!$D48="","","    Matl "&amp;Data!$C48&amp;" "&amp;Data!$D48&amp;",")</f>
        <v/>
      </c>
      <c r="B503" s="412" t="str">
        <f>IF(Data!$D48="",""," ! under # ser material def'n from MATERIALS spreadsheet,")</f>
        <v/>
      </c>
      <c r="C503" s="412"/>
      <c r="F503" s="412"/>
      <c r="G503" s="412"/>
    </row>
    <row r="504" spans="1:7">
      <c r="A504" s="412" t="str">
        <f>IF(Data!$D48="",",","    "&amp;Data!$I48&amp;",")</f>
        <v>,</v>
      </c>
      <c r="B504" s="412" t="str">
        <f>IF(Data!$D48="",""," ! Roughness")</f>
        <v/>
      </c>
      <c r="C504" s="412"/>
      <c r="F504" s="412"/>
      <c r="G504" s="412"/>
    </row>
    <row r="505" spans="1:7">
      <c r="A505" s="412" t="str">
        <f>IF(Data!$D48="",",","    "&amp;Data!$J48/1000&amp;",")</f>
        <v>,</v>
      </c>
      <c r="B505" s="412" t="str">
        <f>IF(Data!$D48="",""," ! Thickness (m)")</f>
        <v/>
      </c>
      <c r="C505" s="412"/>
      <c r="F505" s="412"/>
      <c r="G505" s="412"/>
    </row>
    <row r="506" spans="1:7">
      <c r="A506" s="412" t="str">
        <f>IF(Data!$D48="",",","    "&amp;Data!$K48&amp;",")</f>
        <v>,</v>
      </c>
      <c r="B506" s="412" t="str">
        <f>IF(Data!$D48="",""," ! Conductivity (W/m-K)")</f>
        <v/>
      </c>
      <c r="C506" s="412"/>
      <c r="F506" s="412"/>
      <c r="G506" s="412"/>
    </row>
    <row r="507" spans="1:7">
      <c r="A507" s="412" t="str">
        <f>IF(Data!$D48="",",","    "&amp;Data!$L48&amp;",")</f>
        <v>,</v>
      </c>
      <c r="B507" s="412" t="str">
        <f>IF(Data!$D48="",""," ! Density kg/m3")</f>
        <v/>
      </c>
      <c r="C507" s="412"/>
      <c r="F507" s="412"/>
      <c r="G507" s="412"/>
    </row>
    <row r="508" spans="1:7">
      <c r="A508" s="412" t="str">
        <f>IF(Data!$D48="",",","    "&amp;Data!$M48&amp;",")</f>
        <v>,</v>
      </c>
      <c r="B508" s="412" t="str">
        <f>IF(Data!$D48="",""," ! Specific Heat (J/kg-K)")</f>
        <v/>
      </c>
      <c r="C508" s="412"/>
      <c r="F508" s="412"/>
      <c r="G508" s="412"/>
    </row>
    <row r="509" spans="1:7">
      <c r="A509" s="412" t="str">
        <f>IF(Data!$D48="",",","    "&amp;Data!$N48&amp;",")</f>
        <v>,</v>
      </c>
      <c r="B509" s="412" t="str">
        <f>IF(Data!$D48="",""," ! Thermal Absorptance")</f>
        <v/>
      </c>
      <c r="C509" s="412"/>
      <c r="F509" s="412"/>
      <c r="G509" s="412"/>
    </row>
    <row r="510" spans="1:7">
      <c r="A510" s="412" t="str">
        <f>IF(Data!$D48="",",","    "&amp;Data!$O48&amp;",")</f>
        <v>,</v>
      </c>
      <c r="B510" s="412" t="str">
        <f>IF(Data!$D48="",""," ! Solar Absorptance")</f>
        <v/>
      </c>
      <c r="C510" s="412"/>
      <c r="F510" s="412"/>
      <c r="G510" s="412"/>
    </row>
    <row r="511" spans="1:7">
      <c r="A511" s="412" t="str">
        <f>IF(Data!$D48="",",","    "&amp;Data!$P48&amp;";")</f>
        <v>,</v>
      </c>
      <c r="B511" s="412" t="str">
        <f>IF(Data!$D48="",""," ! Visible Absorptance")</f>
        <v/>
      </c>
      <c r="C511" s="412"/>
      <c r="F511" s="412"/>
      <c r="G511" s="412"/>
    </row>
    <row r="512" spans="1:7">
      <c r="A512" s="412"/>
      <c r="B512" s="412"/>
      <c r="C512" s="412"/>
      <c r="F512" s="412"/>
      <c r="G512" s="412"/>
    </row>
    <row r="513" spans="1:7">
      <c r="A513" s="412" t="str">
        <f>IF(Data!$D49="","","Material,")</f>
        <v/>
      </c>
      <c r="B513" s="412" t="str">
        <f>IF(Data!$D49="",""," ! User material def'n from MATERIALS spreadsheet,")</f>
        <v/>
      </c>
      <c r="C513" s="412"/>
      <c r="F513" s="412"/>
      <c r="G513" s="412"/>
    </row>
    <row r="514" spans="1:7">
      <c r="A514" s="412" t="str">
        <f>IF(Data!$D49="","","    Matl "&amp;Data!$C49&amp;" "&amp;Data!$D49&amp;",")</f>
        <v/>
      </c>
      <c r="B514" s="412" t="str">
        <f>IF(Data!$D49="",""," ! under # ser material def'n from MATERIALS spreadsheet,")</f>
        <v/>
      </c>
      <c r="C514" s="412"/>
      <c r="F514" s="412"/>
      <c r="G514" s="412"/>
    </row>
    <row r="515" spans="1:7">
      <c r="A515" s="412" t="str">
        <f>IF(Data!$D49="",",","    "&amp;Data!$I49&amp;",")</f>
        <v>,</v>
      </c>
      <c r="B515" s="412" t="str">
        <f>IF(Data!$D49="",""," ! Roughness")</f>
        <v/>
      </c>
      <c r="C515" s="412"/>
      <c r="F515" s="412"/>
      <c r="G515" s="412"/>
    </row>
    <row r="516" spans="1:7">
      <c r="A516" s="412" t="str">
        <f>IF(Data!$D49="",",","    "&amp;Data!$J49/1000&amp;",")</f>
        <v>,</v>
      </c>
      <c r="B516" s="412" t="str">
        <f>IF(Data!$D49="",""," ! Thickness (m)")</f>
        <v/>
      </c>
      <c r="C516" s="412"/>
      <c r="F516" s="412"/>
      <c r="G516" s="412"/>
    </row>
    <row r="517" spans="1:7">
      <c r="A517" s="412" t="str">
        <f>IF(Data!$D49="",",","    "&amp;Data!$K49&amp;",")</f>
        <v>,</v>
      </c>
      <c r="B517" s="412" t="str">
        <f>IF(Data!$D49="",""," ! Conductivity (W/m-K)")</f>
        <v/>
      </c>
      <c r="C517" s="412"/>
      <c r="F517" s="412"/>
      <c r="G517" s="412"/>
    </row>
    <row r="518" spans="1:7">
      <c r="A518" s="412" t="str">
        <f>IF(Data!$D49="",",","    "&amp;Data!$L49&amp;",")</f>
        <v>,</v>
      </c>
      <c r="B518" s="412" t="str">
        <f>IF(Data!$D49="",""," ! Density kg/m3")</f>
        <v/>
      </c>
      <c r="C518" s="412"/>
      <c r="F518" s="412"/>
      <c r="G518" s="412"/>
    </row>
    <row r="519" spans="1:7">
      <c r="A519" s="412" t="str">
        <f>IF(Data!$D49="",",","    "&amp;Data!$M49&amp;",")</f>
        <v>,</v>
      </c>
      <c r="B519" s="412" t="str">
        <f>IF(Data!$D49="",""," ! Specific Heat (J/kg-K)")</f>
        <v/>
      </c>
      <c r="C519" s="412"/>
      <c r="F519" s="412"/>
      <c r="G519" s="412"/>
    </row>
    <row r="520" spans="1:7">
      <c r="A520" s="412" t="str">
        <f>IF(Data!$D49="",",","    "&amp;Data!$N49&amp;",")</f>
        <v>,</v>
      </c>
      <c r="B520" s="412" t="str">
        <f>IF(Data!$D49="",""," ! Thermal Absorptance")</f>
        <v/>
      </c>
      <c r="C520" s="412"/>
      <c r="F520" s="412"/>
      <c r="G520" s="412"/>
    </row>
    <row r="521" spans="1:7">
      <c r="A521" s="412" t="str">
        <f>IF(Data!$D49="",",","    "&amp;Data!$O49&amp;",")</f>
        <v>,</v>
      </c>
      <c r="B521" s="412" t="str">
        <f>IF(Data!$D49="",""," ! Solar Absorptance")</f>
        <v/>
      </c>
      <c r="C521" s="412"/>
      <c r="F521" s="412"/>
      <c r="G521" s="412"/>
    </row>
    <row r="522" spans="1:7">
      <c r="A522" s="412" t="str">
        <f>IF(Data!$D49="",",","    "&amp;Data!$P49&amp;";")</f>
        <v>,</v>
      </c>
      <c r="B522" s="412" t="str">
        <f>IF(Data!$D49="",""," ! Visible Absorptance")</f>
        <v/>
      </c>
      <c r="C522" s="412"/>
      <c r="F522" s="412"/>
      <c r="G522" s="412"/>
    </row>
    <row r="523" spans="1:7">
      <c r="A523" s="412"/>
      <c r="B523" s="412"/>
      <c r="C523" s="412"/>
      <c r="F523" s="412"/>
      <c r="G523" s="412"/>
    </row>
    <row r="524" spans="1:7">
      <c r="A524" s="412" t="str">
        <f>IF(Data!$D50="","","Material,")</f>
        <v/>
      </c>
      <c r="B524" s="412" t="str">
        <f>IF(Data!$D50="",""," ! User material def'n from MATERIALS spreadsheet,")</f>
        <v/>
      </c>
      <c r="C524" s="412"/>
      <c r="F524" s="412"/>
      <c r="G524" s="412"/>
    </row>
    <row r="525" spans="1:7">
      <c r="A525" s="412" t="str">
        <f>IF(Data!$D50="","","    Matl "&amp;Data!$C50&amp;" "&amp;Data!$D50&amp;",")</f>
        <v/>
      </c>
      <c r="B525" s="412" t="str">
        <f>IF(Data!$D50="",""," ! under # ser material def'n from MATERIALS spreadsheet,")</f>
        <v/>
      </c>
      <c r="C525" s="412"/>
      <c r="F525" s="412"/>
      <c r="G525" s="412"/>
    </row>
    <row r="526" spans="1:7">
      <c r="A526" s="412" t="str">
        <f>IF(Data!$D50="",",","    "&amp;Data!$I50&amp;",")</f>
        <v>,</v>
      </c>
      <c r="B526" s="412" t="str">
        <f>IF(Data!$D50="",""," ! Roughness")</f>
        <v/>
      </c>
      <c r="C526" s="412"/>
      <c r="F526" s="412"/>
      <c r="G526" s="412"/>
    </row>
    <row r="527" spans="1:7">
      <c r="A527" s="412" t="str">
        <f>IF(Data!$D50="",",","    "&amp;Data!$J50/1000&amp;",")</f>
        <v>,</v>
      </c>
      <c r="B527" s="412" t="str">
        <f>IF(Data!$D50="",""," ! Thickness (m)")</f>
        <v/>
      </c>
      <c r="C527" s="412"/>
      <c r="F527" s="412"/>
      <c r="G527" s="412"/>
    </row>
    <row r="528" spans="1:7">
      <c r="A528" s="412" t="str">
        <f>IF(Data!$D50="",",","    "&amp;Data!$K50&amp;",")</f>
        <v>,</v>
      </c>
      <c r="B528" s="412" t="str">
        <f>IF(Data!$D50="",""," ! Conductivity (W/m-K)")</f>
        <v/>
      </c>
      <c r="C528" s="412"/>
      <c r="F528" s="412"/>
      <c r="G528" s="412"/>
    </row>
    <row r="529" spans="1:7">
      <c r="A529" s="412" t="str">
        <f>IF(Data!$D50="",",","    "&amp;Data!$L50&amp;",")</f>
        <v>,</v>
      </c>
      <c r="B529" s="412" t="str">
        <f>IF(Data!$D50="",""," ! Density kg/m3")</f>
        <v/>
      </c>
      <c r="C529" s="412"/>
      <c r="F529" s="412"/>
      <c r="G529" s="412"/>
    </row>
    <row r="530" spans="1:7">
      <c r="A530" s="412" t="str">
        <f>IF(Data!$D50="",",","    "&amp;Data!$M50&amp;",")</f>
        <v>,</v>
      </c>
      <c r="B530" s="412" t="str">
        <f>IF(Data!$D50="",""," ! Specific Heat (J/kg-K)")</f>
        <v/>
      </c>
      <c r="C530" s="412"/>
      <c r="F530" s="412"/>
      <c r="G530" s="412"/>
    </row>
    <row r="531" spans="1:7">
      <c r="A531" s="412" t="str">
        <f>IF(Data!$D50="",",","    "&amp;Data!$N50&amp;",")</f>
        <v>,</v>
      </c>
      <c r="B531" s="412" t="str">
        <f>IF(Data!$D50="",""," ! Thermal Absorptance")</f>
        <v/>
      </c>
      <c r="C531" s="412"/>
      <c r="F531" s="412"/>
      <c r="G531" s="412"/>
    </row>
    <row r="532" spans="1:7">
      <c r="A532" s="412" t="str">
        <f>IF(Data!$D50="",",","    "&amp;Data!$O50&amp;",")</f>
        <v>,</v>
      </c>
      <c r="B532" s="412" t="str">
        <f>IF(Data!$D50="",""," ! Solar Absorptance")</f>
        <v/>
      </c>
      <c r="C532" s="412"/>
      <c r="F532" s="412"/>
      <c r="G532" s="412"/>
    </row>
    <row r="533" spans="1:7">
      <c r="A533" s="412" t="str">
        <f>IF(Data!$D50="",",","    "&amp;Data!$P50&amp;";")</f>
        <v>,</v>
      </c>
      <c r="B533" s="412" t="str">
        <f>IF(Data!$D50="",""," ! Visible Absorptance")</f>
        <v/>
      </c>
      <c r="C533" s="412"/>
      <c r="F533" s="412"/>
      <c r="G533" s="412"/>
    </row>
    <row r="534" spans="1:7">
      <c r="A534" s="412"/>
      <c r="B534" s="412"/>
      <c r="C534" s="412"/>
      <c r="F534" s="412"/>
      <c r="G534" s="412"/>
    </row>
    <row r="535" spans="1:7">
      <c r="A535" s="412" t="str">
        <f>IF(Data!$D51="","","Material,")</f>
        <v/>
      </c>
      <c r="B535" s="412" t="str">
        <f>IF(Data!$D51="",""," ! User material def'n from MATERIALS spreadsheet,")</f>
        <v/>
      </c>
      <c r="C535" s="412"/>
      <c r="F535" s="412"/>
      <c r="G535" s="412"/>
    </row>
    <row r="536" spans="1:7">
      <c r="A536" s="412" t="str">
        <f>IF(Data!$D51="","","    Matl "&amp;Data!$C51&amp;" "&amp;Data!$D51&amp;",")</f>
        <v/>
      </c>
      <c r="B536" s="412" t="str">
        <f>IF(Data!$D51="",""," ! under # ser material def'n from MATERIALS spreadsheet,")</f>
        <v/>
      </c>
      <c r="C536" s="412"/>
      <c r="F536" s="412"/>
      <c r="G536" s="412"/>
    </row>
    <row r="537" spans="1:7">
      <c r="A537" s="412" t="str">
        <f>IF(Data!$D51="",",","    "&amp;Data!$I51&amp;",")</f>
        <v>,</v>
      </c>
      <c r="B537" s="412" t="str">
        <f>IF(Data!$D51="",""," ! Roughness")</f>
        <v/>
      </c>
      <c r="C537" s="412"/>
      <c r="F537" s="412"/>
      <c r="G537" s="412"/>
    </row>
    <row r="538" spans="1:7">
      <c r="A538" s="412" t="str">
        <f>IF(Data!$D51="",",","    "&amp;Data!$J51/1000&amp;",")</f>
        <v>,</v>
      </c>
      <c r="B538" s="412" t="str">
        <f>IF(Data!$D51="",""," ! Thickness (m)")</f>
        <v/>
      </c>
      <c r="C538" s="412"/>
      <c r="F538" s="412"/>
      <c r="G538" s="412"/>
    </row>
    <row r="539" spans="1:7">
      <c r="A539" s="412" t="str">
        <f>IF(Data!$D51="",",","    "&amp;Data!$K51&amp;",")</f>
        <v>,</v>
      </c>
      <c r="B539" s="412" t="str">
        <f>IF(Data!$D51="",""," ! Conductivity (W/m-K)")</f>
        <v/>
      </c>
      <c r="C539" s="412"/>
      <c r="F539" s="412"/>
      <c r="G539" s="412"/>
    </row>
    <row r="540" spans="1:7">
      <c r="A540" s="412" t="str">
        <f>IF(Data!$D51="",",","    "&amp;Data!$L51&amp;",")</f>
        <v>,</v>
      </c>
      <c r="B540" s="412" t="str">
        <f>IF(Data!$D51="",""," ! Density kg/m3")</f>
        <v/>
      </c>
      <c r="C540" s="412"/>
      <c r="F540" s="412"/>
      <c r="G540" s="412"/>
    </row>
    <row r="541" spans="1:7">
      <c r="A541" s="412" t="str">
        <f>IF(Data!$D51="",",","    "&amp;Data!$M51&amp;",")</f>
        <v>,</v>
      </c>
      <c r="B541" s="412" t="str">
        <f>IF(Data!$D51="",""," ! Specific Heat (J/kg-K)")</f>
        <v/>
      </c>
      <c r="C541" s="412"/>
      <c r="F541" s="412"/>
      <c r="G541" s="412"/>
    </row>
    <row r="542" spans="1:7">
      <c r="A542" s="412" t="str">
        <f>IF(Data!$D51="",",","    "&amp;Data!$N51&amp;",")</f>
        <v>,</v>
      </c>
      <c r="B542" s="412" t="str">
        <f>IF(Data!$D51="",""," ! Thermal Absorptance")</f>
        <v/>
      </c>
      <c r="C542" s="412"/>
      <c r="F542" s="412"/>
      <c r="G542" s="412"/>
    </row>
    <row r="543" spans="1:7">
      <c r="A543" s="412" t="str">
        <f>IF(Data!$D51="",",","    "&amp;Data!$O51&amp;",")</f>
        <v>,</v>
      </c>
      <c r="B543" s="412" t="str">
        <f>IF(Data!$D51="",""," ! Solar Absorptance")</f>
        <v/>
      </c>
      <c r="C543" s="412"/>
      <c r="F543" s="412"/>
      <c r="G543" s="412"/>
    </row>
    <row r="544" spans="1:7">
      <c r="A544" s="412" t="str">
        <f>IF(Data!$D51="",",","    "&amp;Data!$P51&amp;";")</f>
        <v>,</v>
      </c>
      <c r="B544" s="412" t="str">
        <f>IF(Data!$D51="",""," ! Visible Absorptance")</f>
        <v/>
      </c>
      <c r="C544" s="412"/>
      <c r="F544" s="412"/>
      <c r="G544" s="412"/>
    </row>
    <row r="545" spans="1:7">
      <c r="A545" s="412"/>
      <c r="B545" s="412"/>
      <c r="C545" s="412"/>
      <c r="F545" s="412"/>
      <c r="G545" s="412"/>
    </row>
    <row r="546" spans="1:7">
      <c r="A546" s="412" t="str">
        <f>IF(Data!$D52="","","Material,")</f>
        <v/>
      </c>
      <c r="B546" s="412" t="str">
        <f>IF(Data!$D52="",""," ! User material def'n from MATERIALS spreadsheet,")</f>
        <v/>
      </c>
      <c r="C546" s="412"/>
      <c r="F546" s="412"/>
      <c r="G546" s="412"/>
    </row>
    <row r="547" spans="1:7">
      <c r="A547" s="412" t="str">
        <f>IF(Data!$D52="","","    Matl "&amp;Data!$C52&amp;" "&amp;Data!$D52&amp;",")</f>
        <v/>
      </c>
      <c r="B547" s="412" t="str">
        <f>IF(Data!$D52="",""," ! under # ser material def'n from MATERIALS spreadsheet,")</f>
        <v/>
      </c>
      <c r="C547" s="412"/>
      <c r="F547" s="412"/>
      <c r="G547" s="412"/>
    </row>
    <row r="548" spans="1:7">
      <c r="A548" s="412" t="str">
        <f>IF(Data!$D52="",",","    "&amp;Data!$I52&amp;",")</f>
        <v>,</v>
      </c>
      <c r="B548" s="412" t="str">
        <f>IF(Data!$D52="",""," ! Roughness")</f>
        <v/>
      </c>
      <c r="C548" s="412"/>
      <c r="F548" s="412"/>
      <c r="G548" s="412"/>
    </row>
    <row r="549" spans="1:7">
      <c r="A549" s="412" t="str">
        <f>IF(Data!$D52="",",","    "&amp;Data!$J52/1000&amp;",")</f>
        <v>,</v>
      </c>
      <c r="B549" s="412" t="str">
        <f>IF(Data!$D52="",""," ! Thickness (m)")</f>
        <v/>
      </c>
      <c r="C549" s="412"/>
      <c r="F549" s="412"/>
      <c r="G549" s="412"/>
    </row>
    <row r="550" spans="1:7">
      <c r="A550" s="412" t="str">
        <f>IF(Data!$D52="",",","    "&amp;Data!$K52&amp;",")</f>
        <v>,</v>
      </c>
      <c r="B550" s="412" t="str">
        <f>IF(Data!$D52="",""," ! Conductivity (W/m-K)")</f>
        <v/>
      </c>
      <c r="C550" s="412"/>
      <c r="F550" s="412"/>
      <c r="G550" s="412"/>
    </row>
    <row r="551" spans="1:7">
      <c r="A551" s="412" t="str">
        <f>IF(Data!$D52="",",","    "&amp;Data!$L52&amp;",")</f>
        <v>,</v>
      </c>
      <c r="B551" s="412" t="str">
        <f>IF(Data!$D52="",""," ! Density kg/m3")</f>
        <v/>
      </c>
      <c r="C551" s="412"/>
      <c r="F551" s="412"/>
      <c r="G551" s="412"/>
    </row>
    <row r="552" spans="1:7">
      <c r="A552" s="412" t="str">
        <f>IF(Data!$D52="",",","    "&amp;Data!$M52&amp;",")</f>
        <v>,</v>
      </c>
      <c r="B552" s="412" t="str">
        <f>IF(Data!$D52="",""," ! Specific Heat (J/kg-K)")</f>
        <v/>
      </c>
      <c r="C552" s="412"/>
      <c r="F552" s="412"/>
      <c r="G552" s="412"/>
    </row>
    <row r="553" spans="1:7">
      <c r="A553" s="412" t="str">
        <f>IF(Data!$D52="",",","    "&amp;Data!$N52&amp;",")</f>
        <v>,</v>
      </c>
      <c r="B553" s="412" t="str">
        <f>IF(Data!$D52="",""," ! Thermal Absorptance")</f>
        <v/>
      </c>
      <c r="C553" s="412"/>
      <c r="F553" s="412"/>
      <c r="G553" s="412"/>
    </row>
    <row r="554" spans="1:7">
      <c r="A554" s="412" t="str">
        <f>IF(Data!$D52="",",","    "&amp;Data!$O52&amp;",")</f>
        <v>,</v>
      </c>
      <c r="B554" s="412" t="str">
        <f>IF(Data!$D52="",""," ! Solar Absorptance")</f>
        <v/>
      </c>
      <c r="C554" s="412"/>
      <c r="F554" s="412"/>
      <c r="G554" s="412"/>
    </row>
    <row r="555" spans="1:7">
      <c r="A555" s="412" t="str">
        <f>IF(Data!$D52="",",","    "&amp;Data!$P52&amp;";")</f>
        <v>,</v>
      </c>
      <c r="B555" s="412" t="str">
        <f>IF(Data!$D52="",""," ! Visible Absorptance")</f>
        <v/>
      </c>
      <c r="C555" s="412"/>
      <c r="F555" s="412"/>
      <c r="G555" s="412"/>
    </row>
    <row r="556" spans="1:7">
      <c r="A556" s="412"/>
      <c r="B556" s="412"/>
      <c r="C556" s="412"/>
      <c r="F556" s="412"/>
      <c r="G556" s="412"/>
    </row>
    <row r="557" spans="1:7">
      <c r="A557" s="412" t="str">
        <f>IF(Data!$D53="","","Material,")</f>
        <v/>
      </c>
      <c r="B557" s="412" t="str">
        <f>IF(Data!$D53="",""," ! User material def'n from MATERIALS spreadsheet,")</f>
        <v/>
      </c>
      <c r="C557" s="412"/>
      <c r="F557" s="412"/>
      <c r="G557" s="412"/>
    </row>
    <row r="558" spans="1:7">
      <c r="A558" s="412" t="str">
        <f>IF(Data!$D53="","","    Matl "&amp;Data!$C53&amp;" "&amp;Data!$D53&amp;",")</f>
        <v/>
      </c>
      <c r="B558" s="412" t="str">
        <f>IF(Data!$D53="",""," ! under # ser material def'n from MATERIALS spreadsheet,")</f>
        <v/>
      </c>
      <c r="C558" s="412"/>
      <c r="F558" s="412"/>
      <c r="G558" s="412"/>
    </row>
    <row r="559" spans="1:7">
      <c r="A559" s="412" t="str">
        <f>IF(Data!$D53="",",","    "&amp;Data!$I53&amp;",")</f>
        <v>,</v>
      </c>
      <c r="B559" s="412" t="str">
        <f>IF(Data!$D53="",""," ! Roughness")</f>
        <v/>
      </c>
      <c r="C559" s="412"/>
      <c r="F559" s="412"/>
      <c r="G559" s="412"/>
    </row>
    <row r="560" spans="1:7">
      <c r="A560" s="412" t="str">
        <f>IF(Data!$D53="",",","    "&amp;Data!$J53/1000&amp;",")</f>
        <v>,</v>
      </c>
      <c r="B560" s="412" t="str">
        <f>IF(Data!$D53="",""," ! Thickness (m)")</f>
        <v/>
      </c>
      <c r="C560" s="412"/>
      <c r="F560" s="412"/>
      <c r="G560" s="412"/>
    </row>
    <row r="561" spans="1:7">
      <c r="A561" s="412" t="str">
        <f>IF(Data!$D53="",",","    "&amp;Data!$K53&amp;",")</f>
        <v>,</v>
      </c>
      <c r="B561" s="412" t="str">
        <f>IF(Data!$D53="",""," ! Conductivity (W/m-K)")</f>
        <v/>
      </c>
      <c r="C561" s="412"/>
      <c r="F561" s="412"/>
      <c r="G561" s="412"/>
    </row>
    <row r="562" spans="1:7">
      <c r="A562" s="412" t="str">
        <f>IF(Data!$D53="",",","    "&amp;Data!$L53&amp;",")</f>
        <v>,</v>
      </c>
      <c r="B562" s="412" t="str">
        <f>IF(Data!$D53="",""," ! Density kg/m3")</f>
        <v/>
      </c>
      <c r="C562" s="412"/>
      <c r="F562" s="412"/>
      <c r="G562" s="412"/>
    </row>
    <row r="563" spans="1:7">
      <c r="A563" s="412" t="str">
        <f>IF(Data!$D53="",",","    "&amp;Data!$M53&amp;",")</f>
        <v>,</v>
      </c>
      <c r="B563" s="412" t="str">
        <f>IF(Data!$D53="",""," ! Specific Heat (J/kg-K)")</f>
        <v/>
      </c>
      <c r="C563" s="412"/>
      <c r="F563" s="412"/>
      <c r="G563" s="412"/>
    </row>
    <row r="564" spans="1:7">
      <c r="A564" s="412" t="str">
        <f>IF(Data!$D53="",",","    "&amp;Data!$N53&amp;",")</f>
        <v>,</v>
      </c>
      <c r="B564" s="412" t="str">
        <f>IF(Data!$D53="",""," ! Thermal Absorptance")</f>
        <v/>
      </c>
      <c r="C564" s="412"/>
      <c r="F564" s="412"/>
      <c r="G564" s="412"/>
    </row>
    <row r="565" spans="1:7">
      <c r="A565" s="412" t="str">
        <f>IF(Data!$D53="",",","    "&amp;Data!$O53&amp;",")</f>
        <v>,</v>
      </c>
      <c r="B565" s="412" t="str">
        <f>IF(Data!$D53="",""," ! Solar Absorptance")</f>
        <v/>
      </c>
      <c r="C565" s="412"/>
      <c r="F565" s="412"/>
      <c r="G565" s="412"/>
    </row>
    <row r="566" spans="1:7">
      <c r="A566" s="412" t="str">
        <f>IF(Data!$D53="",",","    "&amp;Data!$P53&amp;";")</f>
        <v>,</v>
      </c>
      <c r="B566" s="412" t="str">
        <f>IF(Data!$D53="",""," ! Visible Absorptance")</f>
        <v/>
      </c>
      <c r="C566" s="412"/>
      <c r="F566" s="412"/>
      <c r="G566" s="412"/>
    </row>
    <row r="567" spans="1:7">
      <c r="A567" s="412"/>
      <c r="B567" s="412"/>
      <c r="C567" s="412"/>
      <c r="F567" s="412"/>
      <c r="G567" s="412"/>
    </row>
    <row r="568" spans="1:7">
      <c r="A568" s="412" t="str">
        <f>IF(Data!$D54="","","Material,")</f>
        <v/>
      </c>
      <c r="B568" s="412" t="str">
        <f>IF(Data!$D54="",""," ! User material def'n from MATERIALS spreadsheet,")</f>
        <v/>
      </c>
      <c r="C568" s="412"/>
      <c r="F568" s="412"/>
      <c r="G568" s="412"/>
    </row>
    <row r="569" spans="1:7">
      <c r="A569" s="412" t="str">
        <f>IF(Data!$D54="","","    Matl "&amp;Data!$C54&amp;" "&amp;Data!$D54&amp;",")</f>
        <v/>
      </c>
      <c r="B569" s="412" t="str">
        <f>IF(Data!$D54="",""," ! under # ser material def'n from MATERIALS spreadsheet,")</f>
        <v/>
      </c>
      <c r="C569" s="412"/>
      <c r="F569" s="412"/>
      <c r="G569" s="412"/>
    </row>
    <row r="570" spans="1:7">
      <c r="A570" s="412" t="str">
        <f>IF(Data!$D54="",",","    "&amp;Data!$I54&amp;",")</f>
        <v>,</v>
      </c>
      <c r="B570" s="412" t="str">
        <f>IF(Data!$D54="",""," ! Roughness")</f>
        <v/>
      </c>
      <c r="C570" s="412"/>
      <c r="F570" s="412"/>
      <c r="G570" s="412"/>
    </row>
    <row r="571" spans="1:7">
      <c r="A571" s="412" t="str">
        <f>IF(Data!$D54="",",","    "&amp;Data!$J54/1000&amp;",")</f>
        <v>,</v>
      </c>
      <c r="B571" s="412" t="str">
        <f>IF(Data!$D54="",""," ! Thickness (m)")</f>
        <v/>
      </c>
      <c r="C571" s="412"/>
      <c r="F571" s="412"/>
      <c r="G571" s="412"/>
    </row>
    <row r="572" spans="1:7">
      <c r="A572" s="412" t="str">
        <f>IF(Data!$D54="",",","    "&amp;Data!$K54&amp;",")</f>
        <v>,</v>
      </c>
      <c r="B572" s="412" t="str">
        <f>IF(Data!$D54="",""," ! Conductivity (W/m-K)")</f>
        <v/>
      </c>
      <c r="C572" s="412"/>
      <c r="F572" s="412"/>
      <c r="G572" s="412"/>
    </row>
    <row r="573" spans="1:7">
      <c r="A573" s="412" t="str">
        <f>IF(Data!$D54="",",","    "&amp;Data!$L54&amp;",")</f>
        <v>,</v>
      </c>
      <c r="B573" s="412" t="str">
        <f>IF(Data!$D54="",""," ! Density kg/m3")</f>
        <v/>
      </c>
      <c r="C573" s="412"/>
      <c r="F573" s="412"/>
      <c r="G573" s="412"/>
    </row>
    <row r="574" spans="1:7">
      <c r="A574" s="412" t="str">
        <f>IF(Data!$D54="",",","    "&amp;Data!$M54&amp;",")</f>
        <v>,</v>
      </c>
      <c r="B574" s="412" t="str">
        <f>IF(Data!$D54="",""," ! Specific Heat (J/kg-K)")</f>
        <v/>
      </c>
      <c r="C574" s="412"/>
      <c r="F574" s="412"/>
      <c r="G574" s="412"/>
    </row>
    <row r="575" spans="1:7">
      <c r="A575" s="412" t="str">
        <f>IF(Data!$D54="",",","    "&amp;Data!$N54&amp;",")</f>
        <v>,</v>
      </c>
      <c r="B575" s="412" t="str">
        <f>IF(Data!$D54="",""," ! Thermal Absorptance")</f>
        <v/>
      </c>
      <c r="C575" s="412"/>
      <c r="F575" s="412"/>
      <c r="G575" s="412"/>
    </row>
    <row r="576" spans="1:7">
      <c r="A576" s="412" t="str">
        <f>IF(Data!$D54="",",","    "&amp;Data!$O54&amp;",")</f>
        <v>,</v>
      </c>
      <c r="B576" s="412" t="str">
        <f>IF(Data!$D54="",""," ! Solar Absorptance")</f>
        <v/>
      </c>
      <c r="C576" s="412"/>
      <c r="F576" s="412"/>
      <c r="G576" s="412"/>
    </row>
    <row r="577" spans="1:7">
      <c r="A577" s="412" t="str">
        <f>IF(Data!$D54="",",","    "&amp;Data!$P54&amp;";")</f>
        <v>,</v>
      </c>
      <c r="B577" s="412" t="str">
        <f>IF(Data!$D54="",""," ! Visible Absorptance")</f>
        <v/>
      </c>
      <c r="C577" s="412"/>
      <c r="F577" s="412"/>
      <c r="G577" s="412"/>
    </row>
    <row r="578" spans="1:7">
      <c r="A578" s="412"/>
      <c r="B578" s="412"/>
      <c r="C578" s="412"/>
      <c r="F578" s="412"/>
      <c r="G578" s="412"/>
    </row>
    <row r="579" spans="1:7">
      <c r="A579" s="412" t="str">
        <f>IF(Data!$D55="","","Material,")</f>
        <v/>
      </c>
      <c r="B579" s="412" t="str">
        <f>IF(Data!$D55="",""," ! User material def'n from MATERIALS spreadsheet,")</f>
        <v/>
      </c>
      <c r="C579" s="412"/>
      <c r="F579" s="412"/>
      <c r="G579" s="412"/>
    </row>
    <row r="580" spans="1:7">
      <c r="A580" s="412" t="str">
        <f>IF(Data!$D55="","","    Matl "&amp;Data!$C55&amp;" "&amp;Data!$D55&amp;",")</f>
        <v/>
      </c>
      <c r="B580" s="412" t="str">
        <f>IF(Data!$D55="",""," ! under # ser material def'n from MATERIALS spreadsheet,")</f>
        <v/>
      </c>
      <c r="C580" s="412"/>
      <c r="F580" s="412"/>
      <c r="G580" s="412"/>
    </row>
    <row r="581" spans="1:7">
      <c r="A581" s="412" t="str">
        <f>IF(Data!$D55="",",","    "&amp;Data!$I55&amp;",")</f>
        <v>,</v>
      </c>
      <c r="B581" s="412" t="str">
        <f>IF(Data!$D55="",""," ! Roughness")</f>
        <v/>
      </c>
      <c r="C581" s="412"/>
      <c r="F581" s="412"/>
      <c r="G581" s="412"/>
    </row>
    <row r="582" spans="1:7">
      <c r="A582" s="412" t="str">
        <f>IF(Data!$D55="",",","    "&amp;Data!$J55/1000&amp;",")</f>
        <v>,</v>
      </c>
      <c r="B582" s="412" t="str">
        <f>IF(Data!$D55="",""," ! Thickness (m)")</f>
        <v/>
      </c>
      <c r="C582" s="412"/>
      <c r="F582" s="412"/>
      <c r="G582" s="412"/>
    </row>
    <row r="583" spans="1:7">
      <c r="A583" s="412" t="str">
        <f>IF(Data!$D55="",",","    "&amp;Data!$K55&amp;",")</f>
        <v>,</v>
      </c>
      <c r="B583" s="412" t="str">
        <f>IF(Data!$D55="",""," ! Conductivity (W/m-K)")</f>
        <v/>
      </c>
      <c r="C583" s="412"/>
      <c r="F583" s="412"/>
      <c r="G583" s="412"/>
    </row>
    <row r="584" spans="1:7">
      <c r="A584" s="412" t="str">
        <f>IF(Data!$D55="",",","    "&amp;Data!$L55&amp;",")</f>
        <v>,</v>
      </c>
      <c r="B584" s="412" t="str">
        <f>IF(Data!$D55="",""," ! Density kg/m3")</f>
        <v/>
      </c>
      <c r="C584" s="412"/>
      <c r="F584" s="412"/>
      <c r="G584" s="412"/>
    </row>
    <row r="585" spans="1:7">
      <c r="A585" s="412" t="str">
        <f>IF(Data!$D55="",",","    "&amp;Data!$M55&amp;",")</f>
        <v>,</v>
      </c>
      <c r="B585" s="412" t="str">
        <f>IF(Data!$D55="",""," ! Specific Heat (J/kg-K)")</f>
        <v/>
      </c>
      <c r="C585" s="412"/>
      <c r="F585" s="412"/>
      <c r="G585" s="412"/>
    </row>
    <row r="586" spans="1:7">
      <c r="A586" s="412" t="str">
        <f>IF(Data!$D55="",",","    "&amp;Data!$N55&amp;",")</f>
        <v>,</v>
      </c>
      <c r="B586" s="412" t="str">
        <f>IF(Data!$D55="",""," ! Thermal Absorptance")</f>
        <v/>
      </c>
      <c r="C586" s="412"/>
      <c r="F586" s="412"/>
      <c r="G586" s="412"/>
    </row>
    <row r="587" spans="1:7">
      <c r="A587" s="412" t="str">
        <f>IF(Data!$D55="",",","    "&amp;Data!$O55&amp;",")</f>
        <v>,</v>
      </c>
      <c r="B587" s="412" t="str">
        <f>IF(Data!$D55="",""," ! Solar Absorptance")</f>
        <v/>
      </c>
      <c r="C587" s="412"/>
      <c r="F587" s="412"/>
      <c r="G587" s="412"/>
    </row>
    <row r="588" spans="1:7">
      <c r="A588" s="412" t="str">
        <f>IF(Data!$D55="",",","    "&amp;Data!$P55&amp;";")</f>
        <v>,</v>
      </c>
      <c r="B588" s="412" t="str">
        <f>IF(Data!$D55="",""," ! Visible Absorptance")</f>
        <v/>
      </c>
      <c r="C588" s="412"/>
      <c r="F588" s="412"/>
      <c r="G588" s="412"/>
    </row>
    <row r="589" spans="1:7">
      <c r="A589" s="412"/>
      <c r="B589" s="412"/>
      <c r="C589" s="412"/>
      <c r="F589" s="412"/>
      <c r="G589" s="412"/>
    </row>
    <row r="590" spans="1:7">
      <c r="A590" s="412" t="str">
        <f>IF(Data!$D56="","","Material,")</f>
        <v/>
      </c>
      <c r="B590" s="412" t="str">
        <f>IF(Data!$D56="",""," ! User material def'n from MATERIALS spreadsheet,")</f>
        <v/>
      </c>
      <c r="C590" s="412"/>
      <c r="F590" s="412"/>
      <c r="G590" s="412"/>
    </row>
    <row r="591" spans="1:7">
      <c r="A591" s="412" t="str">
        <f>IF(Data!$D56="","","    Matl "&amp;Data!$C56&amp;" "&amp;Data!$D56&amp;",")</f>
        <v/>
      </c>
      <c r="B591" s="412" t="str">
        <f>IF(Data!$D56="",""," ! under # ser material def'n from MATERIALS spreadsheet,")</f>
        <v/>
      </c>
      <c r="C591" s="412"/>
      <c r="F591" s="412"/>
      <c r="G591" s="412"/>
    </row>
    <row r="592" spans="1:7">
      <c r="A592" s="412" t="str">
        <f>IF(Data!$D56="",",","    "&amp;Data!$I56&amp;",")</f>
        <v>,</v>
      </c>
      <c r="B592" s="412" t="str">
        <f>IF(Data!$D56="",""," ! Roughness")</f>
        <v/>
      </c>
      <c r="C592" s="412"/>
      <c r="F592" s="412"/>
      <c r="G592" s="412"/>
    </row>
    <row r="593" spans="1:7">
      <c r="A593" s="412" t="str">
        <f>IF(Data!$D56="",",","    "&amp;Data!$J56/1000&amp;",")</f>
        <v>,</v>
      </c>
      <c r="B593" s="412" t="str">
        <f>IF(Data!$D56="",""," ! Thickness (m)")</f>
        <v/>
      </c>
      <c r="C593" s="412"/>
      <c r="F593" s="412"/>
      <c r="G593" s="412"/>
    </row>
    <row r="594" spans="1:7">
      <c r="A594" s="412" t="str">
        <f>IF(Data!$D56="",",","    "&amp;Data!$K56&amp;",")</f>
        <v>,</v>
      </c>
      <c r="B594" s="412" t="str">
        <f>IF(Data!$D56="",""," ! Conductivity (W/m-K)")</f>
        <v/>
      </c>
      <c r="C594" s="412"/>
      <c r="F594" s="412"/>
      <c r="G594" s="412"/>
    </row>
    <row r="595" spans="1:7">
      <c r="A595" s="412" t="str">
        <f>IF(Data!$D56="",",","    "&amp;Data!$L56&amp;",")</f>
        <v>,</v>
      </c>
      <c r="B595" s="412" t="str">
        <f>IF(Data!$D56="",""," ! Density kg/m3")</f>
        <v/>
      </c>
      <c r="C595" s="412"/>
      <c r="F595" s="412"/>
      <c r="G595" s="412"/>
    </row>
    <row r="596" spans="1:7">
      <c r="A596" s="412" t="str">
        <f>IF(Data!$D56="",",","    "&amp;Data!$M56&amp;",")</f>
        <v>,</v>
      </c>
      <c r="B596" s="412" t="str">
        <f>IF(Data!$D56="",""," ! Specific Heat (J/kg-K)")</f>
        <v/>
      </c>
      <c r="C596" s="412"/>
      <c r="F596" s="412"/>
      <c r="G596" s="412"/>
    </row>
    <row r="597" spans="1:7">
      <c r="A597" s="412" t="str">
        <f>IF(Data!$D56="",",","    "&amp;Data!$N56&amp;",")</f>
        <v>,</v>
      </c>
      <c r="B597" s="412" t="str">
        <f>IF(Data!$D56="",""," ! Thermal Absorptance")</f>
        <v/>
      </c>
      <c r="C597" s="412"/>
      <c r="F597" s="412"/>
      <c r="G597" s="412"/>
    </row>
    <row r="598" spans="1:7">
      <c r="A598" s="412" t="str">
        <f>IF(Data!$D56="",",","    "&amp;Data!$O56&amp;",")</f>
        <v>,</v>
      </c>
      <c r="B598" s="412" t="str">
        <f>IF(Data!$D56="",""," ! Solar Absorptance")</f>
        <v/>
      </c>
      <c r="C598" s="412"/>
      <c r="F598" s="412"/>
      <c r="G598" s="412"/>
    </row>
    <row r="599" spans="1:7">
      <c r="A599" s="412" t="str">
        <f>IF(Data!$D56="",",","    "&amp;Data!$P56&amp;";")</f>
        <v>,</v>
      </c>
      <c r="B599" s="412" t="str">
        <f>IF(Data!$D56="",""," ! Visible Absorptance")</f>
        <v/>
      </c>
      <c r="C599" s="412"/>
      <c r="F599" s="412"/>
      <c r="G599" s="412"/>
    </row>
    <row r="600" spans="1:7">
      <c r="A600" s="412"/>
      <c r="B600" s="412"/>
      <c r="C600" s="412"/>
      <c r="F600" s="412"/>
      <c r="G600" s="412"/>
    </row>
    <row r="601" spans="1:7">
      <c r="A601" s="412" t="str">
        <f>IF(Data!$D57="","","Material,")</f>
        <v/>
      </c>
      <c r="B601" s="412" t="str">
        <f>IF(Data!$D57="",""," ! User material def'n from MATERIALS spreadsheet,")</f>
        <v/>
      </c>
      <c r="C601" s="412"/>
      <c r="F601" s="412"/>
      <c r="G601" s="412"/>
    </row>
    <row r="602" spans="1:7">
      <c r="A602" s="412" t="str">
        <f>IF(Data!$D57="","","    Matl "&amp;Data!$C57&amp;" "&amp;Data!$D57&amp;",")</f>
        <v/>
      </c>
      <c r="B602" s="412" t="str">
        <f>IF(Data!$D57="",""," ! under # ser material def'n from MATERIALS spreadsheet,")</f>
        <v/>
      </c>
      <c r="C602" s="412"/>
      <c r="F602" s="412"/>
      <c r="G602" s="412"/>
    </row>
    <row r="603" spans="1:7">
      <c r="A603" s="412" t="str">
        <f>IF(Data!$D57="",",","    "&amp;Data!$I57&amp;",")</f>
        <v>,</v>
      </c>
      <c r="B603" s="412" t="str">
        <f>IF(Data!$D57="",""," ! Roughness")</f>
        <v/>
      </c>
      <c r="C603" s="412"/>
      <c r="F603" s="412"/>
      <c r="G603" s="412"/>
    </row>
    <row r="604" spans="1:7">
      <c r="A604" s="412" t="str">
        <f>IF(Data!$D57="",",","    "&amp;Data!$J57/1000&amp;",")</f>
        <v>,</v>
      </c>
      <c r="B604" s="412" t="str">
        <f>IF(Data!$D57="",""," ! Thickness (m)")</f>
        <v/>
      </c>
      <c r="C604" s="412"/>
      <c r="F604" s="412"/>
      <c r="G604" s="412"/>
    </row>
    <row r="605" spans="1:7">
      <c r="A605" s="412" t="str">
        <f>IF(Data!$D57="",",","    "&amp;Data!$K57&amp;",")</f>
        <v>,</v>
      </c>
      <c r="B605" s="412" t="str">
        <f>IF(Data!$D57="",""," ! Conductivity (W/m-K)")</f>
        <v/>
      </c>
      <c r="C605" s="412"/>
      <c r="F605" s="412"/>
      <c r="G605" s="412"/>
    </row>
    <row r="606" spans="1:7">
      <c r="A606" s="412" t="str">
        <f>IF(Data!$D57="",",","    "&amp;Data!$L57&amp;",")</f>
        <v>,</v>
      </c>
      <c r="B606" s="412" t="str">
        <f>IF(Data!$D57="",""," ! Density kg/m3")</f>
        <v/>
      </c>
      <c r="C606" s="412"/>
      <c r="F606" s="412"/>
      <c r="G606" s="412"/>
    </row>
    <row r="607" spans="1:7">
      <c r="A607" s="412" t="str">
        <f>IF(Data!$D57="",",","    "&amp;Data!$M57&amp;",")</f>
        <v>,</v>
      </c>
      <c r="B607" s="412" t="str">
        <f>IF(Data!$D57="",""," ! Specific Heat (J/kg-K)")</f>
        <v/>
      </c>
      <c r="C607" s="412"/>
      <c r="F607" s="412"/>
      <c r="G607" s="412"/>
    </row>
    <row r="608" spans="1:7">
      <c r="A608" s="412" t="str">
        <f>IF(Data!$D57="",",","    "&amp;Data!$N57&amp;",")</f>
        <v>,</v>
      </c>
      <c r="B608" s="412" t="str">
        <f>IF(Data!$D57="",""," ! Thermal Absorptance")</f>
        <v/>
      </c>
      <c r="C608" s="412"/>
      <c r="F608" s="412"/>
      <c r="G608" s="412"/>
    </row>
    <row r="609" spans="1:7">
      <c r="A609" s="412" t="str">
        <f>IF(Data!$D57="",",","    "&amp;Data!$O57&amp;",")</f>
        <v>,</v>
      </c>
      <c r="B609" s="412" t="str">
        <f>IF(Data!$D57="",""," ! Solar Absorptance")</f>
        <v/>
      </c>
      <c r="C609" s="412"/>
      <c r="F609" s="412"/>
      <c r="G609" s="412"/>
    </row>
    <row r="610" spans="1:7">
      <c r="A610" s="412" t="str">
        <f>IF(Data!$D57="",",","    "&amp;Data!$P57&amp;";")</f>
        <v>,</v>
      </c>
      <c r="B610" s="412" t="str">
        <f>IF(Data!$D57="",""," ! Visible Absorptance")</f>
        <v/>
      </c>
      <c r="C610" s="412"/>
      <c r="F610" s="412"/>
      <c r="G610" s="412"/>
    </row>
    <row r="611" spans="1:7">
      <c r="A611" s="412"/>
      <c r="B611" s="412"/>
      <c r="C611" s="412"/>
      <c r="F611" s="412"/>
      <c r="G611" s="412"/>
    </row>
    <row r="612" spans="1:7">
      <c r="A612" s="412" t="str">
        <f>IF(Data!$D58="","","Material,")</f>
        <v/>
      </c>
      <c r="B612" s="412" t="str">
        <f>IF(Data!$D58="",""," ! User material def'n from MATERIALS spreadsheet,")</f>
        <v/>
      </c>
      <c r="C612" s="412"/>
      <c r="F612" s="412"/>
      <c r="G612" s="412"/>
    </row>
    <row r="613" spans="1:7">
      <c r="A613" s="412" t="str">
        <f>IF(Data!$D58="","","    Matl "&amp;Data!$C58&amp;" "&amp;Data!$D58&amp;",")</f>
        <v/>
      </c>
      <c r="B613" s="412" t="str">
        <f>IF(Data!$D58="",""," ! under # ser material def'n from MATERIALS spreadsheet,")</f>
        <v/>
      </c>
      <c r="C613" s="412"/>
      <c r="F613" s="412"/>
      <c r="G613" s="412"/>
    </row>
    <row r="614" spans="1:7">
      <c r="A614" s="412" t="str">
        <f>IF(Data!$D58="",",","    "&amp;Data!$I58&amp;",")</f>
        <v>,</v>
      </c>
      <c r="B614" s="412" t="str">
        <f>IF(Data!$D58="",""," ! Roughness")</f>
        <v/>
      </c>
      <c r="C614" s="412"/>
      <c r="F614" s="412"/>
      <c r="G614" s="412"/>
    </row>
    <row r="615" spans="1:7">
      <c r="A615" s="412" t="str">
        <f>IF(Data!$D58="",",","    "&amp;Data!$J58/1000&amp;",")</f>
        <v>,</v>
      </c>
      <c r="B615" s="412" t="str">
        <f>IF(Data!$D58="",""," ! Thickness (m)")</f>
        <v/>
      </c>
      <c r="C615" s="412"/>
      <c r="F615" s="412"/>
      <c r="G615" s="412"/>
    </row>
    <row r="616" spans="1:7">
      <c r="A616" s="412" t="str">
        <f>IF(Data!$D58="",",","    "&amp;Data!$K58&amp;",")</f>
        <v>,</v>
      </c>
      <c r="B616" s="412" t="str">
        <f>IF(Data!$D58="",""," ! Conductivity (W/m-K)")</f>
        <v/>
      </c>
      <c r="C616" s="412"/>
      <c r="F616" s="412"/>
      <c r="G616" s="412"/>
    </row>
    <row r="617" spans="1:7">
      <c r="A617" s="412" t="str">
        <f>IF(Data!$D58="",",","    "&amp;Data!$L58&amp;",")</f>
        <v>,</v>
      </c>
      <c r="B617" s="412" t="str">
        <f>IF(Data!$D58="",""," ! Density kg/m3")</f>
        <v/>
      </c>
      <c r="C617" s="412"/>
      <c r="F617" s="412"/>
      <c r="G617" s="412"/>
    </row>
    <row r="618" spans="1:7">
      <c r="A618" s="412" t="str">
        <f>IF(Data!$D58="",",","    "&amp;Data!$M58&amp;",")</f>
        <v>,</v>
      </c>
      <c r="B618" s="412" t="str">
        <f>IF(Data!$D58="",""," ! Specific Heat (J/kg-K)")</f>
        <v/>
      </c>
      <c r="C618" s="412"/>
      <c r="F618" s="412"/>
      <c r="G618" s="412"/>
    </row>
    <row r="619" spans="1:7">
      <c r="A619" s="412" t="str">
        <f>IF(Data!$D58="",",","    "&amp;Data!$N58&amp;",")</f>
        <v>,</v>
      </c>
      <c r="B619" s="412" t="str">
        <f>IF(Data!$D58="",""," ! Thermal Absorptance")</f>
        <v/>
      </c>
      <c r="C619" s="412"/>
      <c r="F619" s="412"/>
      <c r="G619" s="412"/>
    </row>
    <row r="620" spans="1:7">
      <c r="A620" s="412" t="str">
        <f>IF(Data!$D58="",",","    "&amp;Data!$O58&amp;",")</f>
        <v>,</v>
      </c>
      <c r="B620" s="412" t="str">
        <f>IF(Data!$D58="",""," ! Solar Absorptance")</f>
        <v/>
      </c>
      <c r="C620" s="412"/>
      <c r="F620" s="412"/>
      <c r="G620" s="412"/>
    </row>
    <row r="621" spans="1:7">
      <c r="A621" s="412" t="str">
        <f>IF(Data!$D58="",",","    "&amp;Data!$P58&amp;";")</f>
        <v>,</v>
      </c>
      <c r="B621" s="412" t="str">
        <f>IF(Data!$D58="",""," ! Visible Absorptance")</f>
        <v/>
      </c>
      <c r="C621" s="412"/>
      <c r="F621" s="412"/>
      <c r="G621" s="412"/>
    </row>
    <row r="622" spans="1:7">
      <c r="A622" s="412"/>
      <c r="B622" s="412"/>
      <c r="C622" s="412"/>
      <c r="F622" s="412"/>
      <c r="G622" s="412"/>
    </row>
    <row r="623" spans="1:7">
      <c r="A623" s="412" t="str">
        <f>IF(Data!$D59="","","Material,")</f>
        <v/>
      </c>
      <c r="B623" s="412" t="str">
        <f>IF(Data!$D59="",""," ! User material def'n from MATERIALS spreadsheet,")</f>
        <v/>
      </c>
      <c r="C623" s="412"/>
      <c r="F623" s="412"/>
      <c r="G623" s="412"/>
    </row>
    <row r="624" spans="1:7">
      <c r="A624" s="412" t="str">
        <f>IF(Data!$D59="","","    Matl "&amp;Data!$C59&amp;" "&amp;Data!$D59&amp;",")</f>
        <v/>
      </c>
      <c r="B624" s="412" t="str">
        <f>IF(Data!$D59="",""," ! under # ser material def'n from MATERIALS spreadsheet,")</f>
        <v/>
      </c>
      <c r="C624" s="412"/>
      <c r="F624" s="412"/>
      <c r="G624" s="412"/>
    </row>
    <row r="625" spans="1:7">
      <c r="A625" s="412" t="str">
        <f>IF(Data!$D59="",",","    "&amp;Data!$I59&amp;",")</f>
        <v>,</v>
      </c>
      <c r="B625" s="412" t="str">
        <f>IF(Data!$D59="",""," ! Roughness")</f>
        <v/>
      </c>
      <c r="C625" s="412"/>
      <c r="F625" s="412"/>
      <c r="G625" s="412"/>
    </row>
    <row r="626" spans="1:7">
      <c r="A626" s="412" t="str">
        <f>IF(Data!$D59="",",","    "&amp;Data!$J59/1000&amp;",")</f>
        <v>,</v>
      </c>
      <c r="B626" s="412" t="str">
        <f>IF(Data!$D59="",""," ! Thickness (m)")</f>
        <v/>
      </c>
      <c r="C626" s="412"/>
      <c r="F626" s="412"/>
      <c r="G626" s="412"/>
    </row>
    <row r="627" spans="1:7">
      <c r="A627" s="412" t="str">
        <f>IF(Data!$D59="",",","    "&amp;Data!$K59&amp;",")</f>
        <v>,</v>
      </c>
      <c r="B627" s="412" t="str">
        <f>IF(Data!$D59="",""," ! Conductivity (W/m-K)")</f>
        <v/>
      </c>
      <c r="C627" s="412"/>
      <c r="F627" s="412"/>
      <c r="G627" s="412"/>
    </row>
    <row r="628" spans="1:7">
      <c r="A628" s="412" t="str">
        <f>IF(Data!$D59="",",","    "&amp;Data!$L59&amp;",")</f>
        <v>,</v>
      </c>
      <c r="B628" s="412" t="str">
        <f>IF(Data!$D59="",""," ! Density kg/m3")</f>
        <v/>
      </c>
      <c r="C628" s="412"/>
      <c r="F628" s="412"/>
      <c r="G628" s="412"/>
    </row>
    <row r="629" spans="1:7">
      <c r="A629" s="412" t="str">
        <f>IF(Data!$D59="",",","    "&amp;Data!$M59&amp;",")</f>
        <v>,</v>
      </c>
      <c r="B629" s="412" t="str">
        <f>IF(Data!$D59="",""," ! Specific Heat (J/kg-K)")</f>
        <v/>
      </c>
      <c r="C629" s="412"/>
      <c r="F629" s="412"/>
      <c r="G629" s="412"/>
    </row>
    <row r="630" spans="1:7">
      <c r="A630" s="412" t="str">
        <f>IF(Data!$D59="",",","    "&amp;Data!$N59&amp;",")</f>
        <v>,</v>
      </c>
      <c r="B630" s="412" t="str">
        <f>IF(Data!$D59="",""," ! Thermal Absorptance")</f>
        <v/>
      </c>
      <c r="C630" s="412"/>
      <c r="F630" s="412"/>
      <c r="G630" s="412"/>
    </row>
    <row r="631" spans="1:7">
      <c r="A631" s="412" t="str">
        <f>IF(Data!$D59="",",","    "&amp;Data!$O59&amp;",")</f>
        <v>,</v>
      </c>
      <c r="B631" s="412" t="str">
        <f>IF(Data!$D59="",""," ! Solar Absorptance")</f>
        <v/>
      </c>
      <c r="C631" s="412"/>
      <c r="F631" s="412"/>
      <c r="G631" s="412"/>
    </row>
    <row r="632" spans="1:7">
      <c r="A632" s="412" t="str">
        <f>IF(Data!$D59="",",","    "&amp;Data!$P59&amp;";")</f>
        <v>,</v>
      </c>
      <c r="B632" s="412" t="str">
        <f>IF(Data!$D59="",""," ! Visible Absorptance")</f>
        <v/>
      </c>
      <c r="C632" s="412"/>
      <c r="F632" s="412"/>
      <c r="G632" s="412"/>
    </row>
    <row r="633" spans="1:7">
      <c r="A633" s="412"/>
      <c r="B633" s="412"/>
      <c r="C633" s="412"/>
      <c r="F633" s="412"/>
      <c r="G633" s="412"/>
    </row>
    <row r="634" spans="1:7">
      <c r="A634" s="412" t="str">
        <f>IF(Data!$D60="","","Material,")</f>
        <v/>
      </c>
      <c r="B634" s="412" t="str">
        <f>IF(Data!$D60="",""," ! User material def'n from MATERIALS spreadsheet,")</f>
        <v/>
      </c>
      <c r="C634" s="412"/>
      <c r="F634" s="412"/>
      <c r="G634" s="412"/>
    </row>
    <row r="635" spans="1:7">
      <c r="A635" s="412" t="str">
        <f>IF(Data!$D60="","","    Matl "&amp;Data!$C60&amp;" "&amp;Data!$D60&amp;",")</f>
        <v/>
      </c>
      <c r="B635" s="412" t="str">
        <f>IF(Data!$D60="",""," ! under # ser material def'n from MATERIALS spreadsheet,")</f>
        <v/>
      </c>
      <c r="C635" s="412"/>
      <c r="F635" s="412"/>
      <c r="G635" s="412"/>
    </row>
    <row r="636" spans="1:7">
      <c r="A636" s="412" t="str">
        <f>IF(Data!$D60="",",","    "&amp;Data!$I60&amp;",")</f>
        <v>,</v>
      </c>
      <c r="B636" s="412" t="str">
        <f>IF(Data!$D60="",""," ! Roughness")</f>
        <v/>
      </c>
      <c r="C636" s="412"/>
      <c r="F636" s="412"/>
      <c r="G636" s="412"/>
    </row>
    <row r="637" spans="1:7">
      <c r="A637" s="412" t="str">
        <f>IF(Data!$D60="",",","    "&amp;Data!$J60/1000&amp;",")</f>
        <v>,</v>
      </c>
      <c r="B637" s="412" t="str">
        <f>IF(Data!$D60="",""," ! Thickness (m)")</f>
        <v/>
      </c>
      <c r="C637" s="412"/>
      <c r="F637" s="412"/>
      <c r="G637" s="412"/>
    </row>
    <row r="638" spans="1:7">
      <c r="A638" s="412" t="str">
        <f>IF(Data!$D60="",",","    "&amp;Data!$K60&amp;",")</f>
        <v>,</v>
      </c>
      <c r="B638" s="412" t="str">
        <f>IF(Data!$D60="",""," ! Conductivity (W/m-K)")</f>
        <v/>
      </c>
      <c r="C638" s="412"/>
      <c r="F638" s="412"/>
      <c r="G638" s="412"/>
    </row>
    <row r="639" spans="1:7">
      <c r="A639" s="412" t="str">
        <f>IF(Data!$D60="",",","    "&amp;Data!$L60&amp;",")</f>
        <v>,</v>
      </c>
      <c r="B639" s="412" t="str">
        <f>IF(Data!$D60="",""," ! Density kg/m3")</f>
        <v/>
      </c>
      <c r="C639" s="412"/>
      <c r="F639" s="412"/>
      <c r="G639" s="412"/>
    </row>
    <row r="640" spans="1:7">
      <c r="A640" s="412" t="str">
        <f>IF(Data!$D60="",",","    "&amp;Data!$M60&amp;",")</f>
        <v>,</v>
      </c>
      <c r="B640" s="412" t="str">
        <f>IF(Data!$D60="",""," ! Specific Heat (J/kg-K)")</f>
        <v/>
      </c>
      <c r="C640" s="412"/>
      <c r="F640" s="412"/>
      <c r="G640" s="412"/>
    </row>
    <row r="641" spans="1:7">
      <c r="A641" s="412" t="str">
        <f>IF(Data!$D60="",",","    "&amp;Data!$N60&amp;",")</f>
        <v>,</v>
      </c>
      <c r="B641" s="412" t="str">
        <f>IF(Data!$D60="",""," ! Thermal Absorptance")</f>
        <v/>
      </c>
      <c r="C641" s="412"/>
      <c r="F641" s="412"/>
      <c r="G641" s="412"/>
    </row>
    <row r="642" spans="1:7">
      <c r="A642" s="412" t="str">
        <f>IF(Data!$D60="",",","    "&amp;Data!$O60&amp;",")</f>
        <v>,</v>
      </c>
      <c r="B642" s="412" t="str">
        <f>IF(Data!$D60="",""," ! Solar Absorptance")</f>
        <v/>
      </c>
      <c r="C642" s="412"/>
      <c r="F642" s="412"/>
      <c r="G642" s="412"/>
    </row>
    <row r="643" spans="1:7">
      <c r="A643" s="412" t="str">
        <f>IF(Data!$D60="",",","    "&amp;Data!$P60&amp;";")</f>
        <v>,</v>
      </c>
      <c r="B643" s="412" t="str">
        <f>IF(Data!$D60="",""," ! Visible Absorptance")</f>
        <v/>
      </c>
      <c r="C643" s="412"/>
      <c r="F643" s="412"/>
      <c r="G643" s="412"/>
    </row>
    <row r="644" spans="1:7">
      <c r="A644" s="412"/>
      <c r="B644" s="412"/>
      <c r="C644" s="412"/>
      <c r="F644" s="412"/>
      <c r="G644" s="412"/>
    </row>
    <row r="645" spans="1:7">
      <c r="A645" s="412" t="str">
        <f>IF(Data!$D61="","","Material,")</f>
        <v/>
      </c>
      <c r="B645" s="412" t="str">
        <f>IF(Data!$D61="",""," ! User material def'n from MATERIALS spreadsheet,")</f>
        <v/>
      </c>
      <c r="C645" s="412"/>
      <c r="F645" s="412"/>
      <c r="G645" s="412"/>
    </row>
    <row r="646" spans="1:7">
      <c r="A646" s="412" t="str">
        <f>IF(Data!$D61="","","    Matl "&amp;Data!$C61&amp;" "&amp;Data!$D61&amp;",")</f>
        <v/>
      </c>
      <c r="B646" s="412" t="str">
        <f>IF(Data!$D61="",""," ! under # ser material def'n from MATERIALS spreadsheet,")</f>
        <v/>
      </c>
      <c r="C646" s="412"/>
      <c r="F646" s="412"/>
      <c r="G646" s="412"/>
    </row>
    <row r="647" spans="1:7">
      <c r="A647" s="412" t="str">
        <f>IF(Data!$D61="",",","    "&amp;Data!$I61&amp;",")</f>
        <v>,</v>
      </c>
      <c r="B647" s="412" t="str">
        <f>IF(Data!$D61="",""," ! Roughness")</f>
        <v/>
      </c>
      <c r="C647" s="412"/>
      <c r="F647" s="412"/>
      <c r="G647" s="412"/>
    </row>
    <row r="648" spans="1:7">
      <c r="A648" s="412" t="str">
        <f>IF(Data!$D61="",",","    "&amp;Data!$J61/1000&amp;",")</f>
        <v>,</v>
      </c>
      <c r="B648" s="412" t="str">
        <f>IF(Data!$D61="",""," ! Thickness (m)")</f>
        <v/>
      </c>
      <c r="C648" s="412"/>
      <c r="F648" s="412"/>
      <c r="G648" s="412"/>
    </row>
    <row r="649" spans="1:7">
      <c r="A649" s="412" t="str">
        <f>IF(Data!$D61="",",","    "&amp;Data!$K61&amp;",")</f>
        <v>,</v>
      </c>
      <c r="B649" s="412" t="str">
        <f>IF(Data!$D61="",""," ! Conductivity (W/m-K)")</f>
        <v/>
      </c>
      <c r="C649" s="412"/>
      <c r="F649" s="412"/>
      <c r="G649" s="412"/>
    </row>
    <row r="650" spans="1:7">
      <c r="A650" s="412" t="str">
        <f>IF(Data!$D61="",",","    "&amp;Data!$L61&amp;",")</f>
        <v>,</v>
      </c>
      <c r="B650" s="412" t="str">
        <f>IF(Data!$D61="",""," ! Density kg/m3")</f>
        <v/>
      </c>
      <c r="C650" s="412"/>
      <c r="F650" s="412"/>
      <c r="G650" s="412"/>
    </row>
    <row r="651" spans="1:7">
      <c r="A651" s="412" t="str">
        <f>IF(Data!$D61="",",","    "&amp;Data!$M61&amp;",")</f>
        <v>,</v>
      </c>
      <c r="B651" s="412" t="str">
        <f>IF(Data!$D61="",""," ! Specific Heat (J/kg-K)")</f>
        <v/>
      </c>
      <c r="C651" s="412"/>
      <c r="F651" s="412"/>
      <c r="G651" s="412"/>
    </row>
    <row r="652" spans="1:7">
      <c r="A652" s="412" t="str">
        <f>IF(Data!$D61="",",","    "&amp;Data!$N61&amp;",")</f>
        <v>,</v>
      </c>
      <c r="B652" s="412" t="str">
        <f>IF(Data!$D61="",""," ! Thermal Absorptance")</f>
        <v/>
      </c>
      <c r="C652" s="412"/>
      <c r="F652" s="412"/>
      <c r="G652" s="412"/>
    </row>
    <row r="653" spans="1:7">
      <c r="A653" s="412" t="str">
        <f>IF(Data!$D61="",",","    "&amp;Data!$O61&amp;",")</f>
        <v>,</v>
      </c>
      <c r="B653" s="412" t="str">
        <f>IF(Data!$D61="",""," ! Solar Absorptance")</f>
        <v/>
      </c>
      <c r="C653" s="412"/>
      <c r="F653" s="412"/>
      <c r="G653" s="412"/>
    </row>
    <row r="654" spans="1:7">
      <c r="A654" s="412" t="str">
        <f>IF(Data!$D61="",",","    "&amp;Data!$P61&amp;";")</f>
        <v>,</v>
      </c>
      <c r="B654" s="412" t="str">
        <f>IF(Data!$D61="",""," ! Visible Absorptance")</f>
        <v/>
      </c>
      <c r="C654" s="412"/>
      <c r="F654" s="412"/>
      <c r="G654" s="412"/>
    </row>
    <row r="655" spans="1:7">
      <c r="A655" s="412"/>
      <c r="B655" s="412"/>
      <c r="C655" s="412"/>
      <c r="F655" s="412"/>
      <c r="G655" s="412"/>
    </row>
    <row r="656" spans="1:7">
      <c r="A656" s="412" t="str">
        <f>IF(Data!$D62="","","Material,")</f>
        <v/>
      </c>
      <c r="B656" s="412" t="str">
        <f>IF(Data!$D62="",""," ! User material def'n from MATERIALS spreadsheet,")</f>
        <v/>
      </c>
      <c r="C656" s="412"/>
      <c r="F656" s="412"/>
      <c r="G656" s="412"/>
    </row>
    <row r="657" spans="1:7">
      <c r="A657" s="412" t="str">
        <f>IF(Data!$D62="","","    Matl "&amp;Data!$C62&amp;" "&amp;Data!$D62&amp;",")</f>
        <v/>
      </c>
      <c r="B657" s="412" t="str">
        <f>IF(Data!$D62="",""," ! under # ser material def'n from MATERIALS spreadsheet,")</f>
        <v/>
      </c>
      <c r="C657" s="412"/>
      <c r="F657" s="412"/>
      <c r="G657" s="412"/>
    </row>
    <row r="658" spans="1:7">
      <c r="A658" s="412" t="str">
        <f>IF(Data!$D62="",",","    "&amp;Data!$I62&amp;",")</f>
        <v>,</v>
      </c>
      <c r="B658" s="412" t="str">
        <f>IF(Data!$D62="",""," ! Roughness")</f>
        <v/>
      </c>
      <c r="C658" s="412"/>
      <c r="F658" s="412"/>
      <c r="G658" s="412"/>
    </row>
    <row r="659" spans="1:7">
      <c r="A659" s="412" t="str">
        <f>IF(Data!$D62="",",","    "&amp;Data!$J62/1000&amp;",")</f>
        <v>,</v>
      </c>
      <c r="B659" s="412" t="str">
        <f>IF(Data!$D62="",""," ! Thickness (m)")</f>
        <v/>
      </c>
      <c r="C659" s="412"/>
      <c r="F659" s="412"/>
      <c r="G659" s="412"/>
    </row>
    <row r="660" spans="1:7">
      <c r="A660" s="412" t="str">
        <f>IF(Data!$D62="",",","    "&amp;Data!$K62&amp;",")</f>
        <v>,</v>
      </c>
      <c r="B660" s="412" t="str">
        <f>IF(Data!$D62="",""," ! Conductivity (W/m-K)")</f>
        <v/>
      </c>
      <c r="C660" s="412"/>
      <c r="F660" s="412"/>
      <c r="G660" s="412"/>
    </row>
    <row r="661" spans="1:7">
      <c r="A661" s="412" t="str">
        <f>IF(Data!$D62="",",","    "&amp;Data!$L62&amp;",")</f>
        <v>,</v>
      </c>
      <c r="B661" s="412" t="str">
        <f>IF(Data!$D62="",""," ! Density kg/m3")</f>
        <v/>
      </c>
      <c r="C661" s="412"/>
      <c r="F661" s="412"/>
      <c r="G661" s="412"/>
    </row>
    <row r="662" spans="1:7">
      <c r="A662" s="412" t="str">
        <f>IF(Data!$D62="",",","    "&amp;Data!$M62&amp;",")</f>
        <v>,</v>
      </c>
      <c r="B662" s="412" t="str">
        <f>IF(Data!$D62="",""," ! Specific Heat (J/kg-K)")</f>
        <v/>
      </c>
      <c r="C662" s="412"/>
      <c r="F662" s="412"/>
      <c r="G662" s="412"/>
    </row>
    <row r="663" spans="1:7">
      <c r="A663" s="412" t="str">
        <f>IF(Data!$D62="",",","    "&amp;Data!$N62&amp;",")</f>
        <v>,</v>
      </c>
      <c r="B663" s="412" t="str">
        <f>IF(Data!$D62="",""," ! Thermal Absorptance")</f>
        <v/>
      </c>
      <c r="C663" s="412"/>
      <c r="F663" s="412"/>
      <c r="G663" s="412"/>
    </row>
    <row r="664" spans="1:7">
      <c r="A664" s="412" t="str">
        <f>IF(Data!$D62="",",","    "&amp;Data!$O62&amp;",")</f>
        <v>,</v>
      </c>
      <c r="B664" s="412" t="str">
        <f>IF(Data!$D62="",""," ! Solar Absorptance")</f>
        <v/>
      </c>
      <c r="C664" s="412"/>
      <c r="F664" s="412"/>
      <c r="G664" s="412"/>
    </row>
    <row r="665" spans="1:7">
      <c r="A665" s="412" t="str">
        <f>IF(Data!$D62="",",","    "&amp;Data!$P62&amp;";")</f>
        <v>,</v>
      </c>
      <c r="B665" s="412" t="str">
        <f>IF(Data!$D62="",""," ! Visible Absorptance")</f>
        <v/>
      </c>
      <c r="C665" s="412"/>
      <c r="F665" s="412"/>
      <c r="G665" s="412"/>
    </row>
    <row r="666" spans="1:7">
      <c r="A666" s="412"/>
      <c r="B666" s="412"/>
      <c r="C666" s="412"/>
      <c r="F666" s="412"/>
      <c r="G666" s="412"/>
    </row>
    <row r="667" spans="1:7">
      <c r="A667" s="412" t="str">
        <f>IF(Data!$D63="","","Material,")</f>
        <v/>
      </c>
      <c r="B667" s="412" t="str">
        <f>IF(Data!$D63="",""," ! User material def'n from MATERIALS spreadsheet,")</f>
        <v/>
      </c>
      <c r="C667" s="412"/>
      <c r="F667" s="412"/>
      <c r="G667" s="412"/>
    </row>
    <row r="668" spans="1:7">
      <c r="A668" s="412" t="str">
        <f>IF(Data!$D63="","","    Matl "&amp;Data!$C63&amp;" "&amp;Data!$D63&amp;",")</f>
        <v/>
      </c>
      <c r="B668" s="412" t="str">
        <f>IF(Data!$D63="",""," ! under # ser material def'n from MATERIALS spreadsheet,")</f>
        <v/>
      </c>
      <c r="C668" s="412"/>
      <c r="F668" s="412"/>
      <c r="G668" s="412"/>
    </row>
    <row r="669" spans="1:7">
      <c r="A669" s="412" t="str">
        <f>IF(Data!$D63="",",","    "&amp;Data!$I63&amp;",")</f>
        <v>,</v>
      </c>
      <c r="B669" s="412" t="str">
        <f>IF(Data!$D63="",""," ! Roughness")</f>
        <v/>
      </c>
      <c r="C669" s="412"/>
      <c r="F669" s="412"/>
      <c r="G669" s="412"/>
    </row>
    <row r="670" spans="1:7">
      <c r="A670" s="412" t="str">
        <f>IF(Data!$D63="",",","    "&amp;Data!$J63/1000&amp;",")</f>
        <v>,</v>
      </c>
      <c r="B670" s="412" t="str">
        <f>IF(Data!$D63="",""," ! Thickness (m)")</f>
        <v/>
      </c>
      <c r="C670" s="412"/>
      <c r="F670" s="412"/>
      <c r="G670" s="412"/>
    </row>
    <row r="671" spans="1:7">
      <c r="A671" s="412" t="str">
        <f>IF(Data!$D63="",",","    "&amp;Data!$K63&amp;",")</f>
        <v>,</v>
      </c>
      <c r="B671" s="412" t="str">
        <f>IF(Data!$D63="",""," ! Conductivity (W/m-K)")</f>
        <v/>
      </c>
      <c r="C671" s="412"/>
      <c r="F671" s="412"/>
      <c r="G671" s="412"/>
    </row>
    <row r="672" spans="1:7">
      <c r="A672" s="412" t="str">
        <f>IF(Data!$D63="",",","    "&amp;Data!$L63&amp;",")</f>
        <v>,</v>
      </c>
      <c r="B672" s="412" t="str">
        <f>IF(Data!$D63="",""," ! Density kg/m3")</f>
        <v/>
      </c>
      <c r="C672" s="412"/>
      <c r="F672" s="412"/>
      <c r="G672" s="412"/>
    </row>
    <row r="673" spans="1:7">
      <c r="A673" s="412" t="str">
        <f>IF(Data!$D63="",",","    "&amp;Data!$M63&amp;",")</f>
        <v>,</v>
      </c>
      <c r="B673" s="412" t="str">
        <f>IF(Data!$D63="",""," ! Specific Heat (J/kg-K)")</f>
        <v/>
      </c>
      <c r="C673" s="412"/>
      <c r="F673" s="412"/>
      <c r="G673" s="412"/>
    </row>
    <row r="674" spans="1:7">
      <c r="A674" s="412" t="str">
        <f>IF(Data!$D63="",",","    "&amp;Data!$N63&amp;",")</f>
        <v>,</v>
      </c>
      <c r="B674" s="412" t="str">
        <f>IF(Data!$D63="",""," ! Thermal Absorptance")</f>
        <v/>
      </c>
      <c r="C674" s="412"/>
      <c r="F674" s="412"/>
      <c r="G674" s="412"/>
    </row>
    <row r="675" spans="1:7">
      <c r="A675" s="412" t="str">
        <f>IF(Data!$D63="",",","    "&amp;Data!$O63&amp;",")</f>
        <v>,</v>
      </c>
      <c r="B675" s="412" t="str">
        <f>IF(Data!$D63="",""," ! Solar Absorptance")</f>
        <v/>
      </c>
      <c r="C675" s="412"/>
      <c r="F675" s="412"/>
      <c r="G675" s="412"/>
    </row>
    <row r="676" spans="1:7">
      <c r="A676" s="412" t="str">
        <f>IF(Data!$D63="",",","    "&amp;Data!$P63&amp;";")</f>
        <v>,</v>
      </c>
      <c r="B676" s="412" t="str">
        <f>IF(Data!$D63="",""," ! Visible Absorptance")</f>
        <v/>
      </c>
      <c r="C676" s="412"/>
      <c r="F676" s="412"/>
      <c r="G676" s="412"/>
    </row>
    <row r="677" spans="1:7">
      <c r="A677" s="412"/>
      <c r="B677" s="412"/>
      <c r="C677" s="412"/>
      <c r="F677" s="412"/>
      <c r="G677" s="412"/>
    </row>
    <row r="678" spans="1:7">
      <c r="A678" s="412" t="str">
        <f>IF(Data!$D64="","","Material,")</f>
        <v/>
      </c>
      <c r="B678" s="412" t="str">
        <f>IF(Data!$D64="",""," ! User material def'n from MATERIALS spreadsheet,")</f>
        <v/>
      </c>
      <c r="C678" s="412"/>
      <c r="F678" s="412"/>
      <c r="G678" s="412"/>
    </row>
    <row r="679" spans="1:7">
      <c r="A679" s="412" t="str">
        <f>IF(Data!$D64="","","    Matl "&amp;Data!$C64&amp;" "&amp;Data!$D64&amp;",")</f>
        <v/>
      </c>
      <c r="B679" s="412" t="str">
        <f>IF(Data!$D64="",""," ! under # ser material def'n from MATERIALS spreadsheet,")</f>
        <v/>
      </c>
      <c r="C679" s="412"/>
      <c r="F679" s="412"/>
      <c r="G679" s="412"/>
    </row>
    <row r="680" spans="1:7">
      <c r="A680" s="412" t="str">
        <f>IF(Data!$D64="",",","    "&amp;Data!$I64&amp;",")</f>
        <v>,</v>
      </c>
      <c r="B680" s="412" t="str">
        <f>IF(Data!$D64="",""," ! Roughness")</f>
        <v/>
      </c>
      <c r="C680" s="412"/>
      <c r="F680" s="412"/>
      <c r="G680" s="412"/>
    </row>
    <row r="681" spans="1:7">
      <c r="A681" s="412" t="str">
        <f>IF(Data!$D64="",",","    "&amp;Data!$J64/1000&amp;",")</f>
        <v>,</v>
      </c>
      <c r="B681" s="412" t="str">
        <f>IF(Data!$D64="",""," ! Thickness (m)")</f>
        <v/>
      </c>
      <c r="C681" s="412"/>
      <c r="F681" s="412"/>
      <c r="G681" s="412"/>
    </row>
    <row r="682" spans="1:7">
      <c r="A682" s="412" t="str">
        <f>IF(Data!$D64="",",","    "&amp;Data!$K64&amp;",")</f>
        <v>,</v>
      </c>
      <c r="B682" s="412" t="str">
        <f>IF(Data!$D64="",""," ! Conductivity (W/m-K)")</f>
        <v/>
      </c>
      <c r="C682" s="412"/>
      <c r="F682" s="412"/>
      <c r="G682" s="412"/>
    </row>
    <row r="683" spans="1:7">
      <c r="A683" s="412" t="str">
        <f>IF(Data!$D64="",",","    "&amp;Data!$L64&amp;",")</f>
        <v>,</v>
      </c>
      <c r="B683" s="412" t="str">
        <f>IF(Data!$D64="",""," ! Density kg/m3")</f>
        <v/>
      </c>
      <c r="C683" s="412"/>
      <c r="F683" s="412"/>
      <c r="G683" s="412"/>
    </row>
    <row r="684" spans="1:7">
      <c r="A684" s="412" t="str">
        <f>IF(Data!$D64="",",","    "&amp;Data!$M64&amp;",")</f>
        <v>,</v>
      </c>
      <c r="B684" s="412" t="str">
        <f>IF(Data!$D64="",""," ! Specific Heat (J/kg-K)")</f>
        <v/>
      </c>
      <c r="C684" s="412"/>
      <c r="F684" s="412"/>
      <c r="G684" s="412"/>
    </row>
    <row r="685" spans="1:7">
      <c r="A685" s="412" t="str">
        <f>IF(Data!$D64="",",","    "&amp;Data!$N64&amp;",")</f>
        <v>,</v>
      </c>
      <c r="B685" s="412" t="str">
        <f>IF(Data!$D64="",""," ! Thermal Absorptance")</f>
        <v/>
      </c>
      <c r="C685" s="412"/>
      <c r="F685" s="412"/>
      <c r="G685" s="412"/>
    </row>
    <row r="686" spans="1:7">
      <c r="A686" s="412" t="str">
        <f>IF(Data!$D64="",",","    "&amp;Data!$O64&amp;",")</f>
        <v>,</v>
      </c>
      <c r="B686" s="412" t="str">
        <f>IF(Data!$D64="",""," ! Solar Absorptance")</f>
        <v/>
      </c>
      <c r="C686" s="412"/>
      <c r="F686" s="412"/>
      <c r="G686" s="412"/>
    </row>
    <row r="687" spans="1:7">
      <c r="A687" s="412" t="str">
        <f>IF(Data!$D64="",",","    "&amp;Data!$P64&amp;";")</f>
        <v>,</v>
      </c>
      <c r="B687" s="412" t="str">
        <f>IF(Data!$D64="",""," ! Visible Absorptance")</f>
        <v/>
      </c>
      <c r="C687" s="412"/>
      <c r="F687" s="412"/>
      <c r="G687" s="412"/>
    </row>
    <row r="688" spans="1:7">
      <c r="A688" s="412"/>
      <c r="B688" s="412"/>
      <c r="C688" s="412"/>
      <c r="F688" s="412"/>
      <c r="G688" s="412"/>
    </row>
    <row r="689" spans="1:7">
      <c r="A689" s="412" t="str">
        <f>IF(Data!$D65="","","Material,")</f>
        <v/>
      </c>
      <c r="B689" s="412" t="str">
        <f>IF(Data!$D65="",""," ! User material def'n from MATERIALS spreadsheet,")</f>
        <v/>
      </c>
      <c r="C689" s="412"/>
      <c r="F689" s="412"/>
      <c r="G689" s="412"/>
    </row>
    <row r="690" spans="1:7">
      <c r="A690" s="412" t="str">
        <f>IF(Data!$D65="","","    Matl "&amp;Data!$C65&amp;" "&amp;Data!$D65&amp;",")</f>
        <v/>
      </c>
      <c r="B690" s="412" t="str">
        <f>IF(Data!$D65="",""," ! under # ser material def'n from MATERIALS spreadsheet,")</f>
        <v/>
      </c>
      <c r="C690" s="412"/>
      <c r="F690" s="412"/>
      <c r="G690" s="412"/>
    </row>
    <row r="691" spans="1:7">
      <c r="A691" s="412" t="str">
        <f>IF(Data!$D65="",",","    "&amp;Data!$I65&amp;",")</f>
        <v>,</v>
      </c>
      <c r="B691" s="412" t="str">
        <f>IF(Data!$D65="",""," ! Roughness")</f>
        <v/>
      </c>
      <c r="C691" s="412"/>
      <c r="F691" s="412"/>
      <c r="G691" s="412"/>
    </row>
    <row r="692" spans="1:7">
      <c r="A692" s="412" t="str">
        <f>IF(Data!$D65="",",","    "&amp;Data!$J65/1000&amp;",")</f>
        <v>,</v>
      </c>
      <c r="B692" s="412" t="str">
        <f>IF(Data!$D65="",""," ! Thickness (m)")</f>
        <v/>
      </c>
      <c r="C692" s="412"/>
      <c r="F692" s="412"/>
      <c r="G692" s="412"/>
    </row>
    <row r="693" spans="1:7">
      <c r="A693" s="412" t="str">
        <f>IF(Data!$D65="",",","    "&amp;Data!$K65&amp;",")</f>
        <v>,</v>
      </c>
      <c r="B693" s="412" t="str">
        <f>IF(Data!$D65="",""," ! Conductivity (W/m-K)")</f>
        <v/>
      </c>
      <c r="C693" s="412"/>
      <c r="F693" s="412"/>
      <c r="G693" s="412"/>
    </row>
    <row r="694" spans="1:7">
      <c r="A694" s="412" t="str">
        <f>IF(Data!$D65="",",","    "&amp;Data!$L65&amp;",")</f>
        <v>,</v>
      </c>
      <c r="B694" s="412" t="str">
        <f>IF(Data!$D65="",""," ! Density kg/m3")</f>
        <v/>
      </c>
      <c r="C694" s="412"/>
      <c r="F694" s="412"/>
      <c r="G694" s="412"/>
    </row>
    <row r="695" spans="1:7">
      <c r="A695" s="412" t="str">
        <f>IF(Data!$D65="",",","    "&amp;Data!$M65&amp;",")</f>
        <v>,</v>
      </c>
      <c r="B695" s="412" t="str">
        <f>IF(Data!$D65="",""," ! Specific Heat (J/kg-K)")</f>
        <v/>
      </c>
      <c r="C695" s="412"/>
      <c r="F695" s="412"/>
      <c r="G695" s="412"/>
    </row>
    <row r="696" spans="1:7">
      <c r="A696" s="412" t="str">
        <f>IF(Data!$D65="",",","    "&amp;Data!$N65&amp;",")</f>
        <v>,</v>
      </c>
      <c r="B696" s="412" t="str">
        <f>IF(Data!$D65="",""," ! Thermal Absorptance")</f>
        <v/>
      </c>
      <c r="C696" s="412"/>
      <c r="F696" s="412"/>
      <c r="G696" s="412"/>
    </row>
    <row r="697" spans="1:7">
      <c r="A697" s="412" t="str">
        <f>IF(Data!$D65="",",","    "&amp;Data!$O65&amp;",")</f>
        <v>,</v>
      </c>
      <c r="B697" s="412" t="str">
        <f>IF(Data!$D65="",""," ! Solar Absorptance")</f>
        <v/>
      </c>
      <c r="C697" s="412"/>
      <c r="F697" s="412"/>
      <c r="G697" s="412"/>
    </row>
    <row r="698" spans="1:7">
      <c r="A698" s="412" t="str">
        <f>IF(Data!$D65="",",","    "&amp;Data!$P65&amp;";")</f>
        <v>,</v>
      </c>
      <c r="B698" s="412" t="str">
        <f>IF(Data!$D65="",""," ! Visible Absorptance")</f>
        <v/>
      </c>
      <c r="C698" s="412"/>
      <c r="F698" s="412"/>
      <c r="G698" s="412"/>
    </row>
    <row r="699" spans="1:7">
      <c r="A699" s="412"/>
      <c r="B699" s="412"/>
      <c r="C699" s="412"/>
      <c r="F699" s="412"/>
      <c r="G699" s="412"/>
    </row>
    <row r="700" spans="1:7">
      <c r="A700" s="412" t="str">
        <f>IF(Data!$D66="","","Material,")</f>
        <v/>
      </c>
      <c r="B700" s="412" t="str">
        <f>IF(Data!$D66="",""," ! User material def'n from MATERIALS spreadsheet,")</f>
        <v/>
      </c>
      <c r="C700" s="412"/>
      <c r="F700" s="412"/>
      <c r="G700" s="412"/>
    </row>
    <row r="701" spans="1:7">
      <c r="A701" s="412" t="str">
        <f>IF(Data!$D66="","","    Matl "&amp;Data!$C66&amp;" "&amp;Data!$D66&amp;",")</f>
        <v/>
      </c>
      <c r="B701" s="412" t="str">
        <f>IF(Data!$D66="",""," ! under # ser material def'n from MATERIALS spreadsheet,")</f>
        <v/>
      </c>
      <c r="C701" s="412"/>
      <c r="F701" s="412"/>
      <c r="G701" s="412"/>
    </row>
    <row r="702" spans="1:7">
      <c r="A702" s="412" t="str">
        <f>IF(Data!$D66="",",","    "&amp;Data!$I66&amp;",")</f>
        <v>,</v>
      </c>
      <c r="B702" s="412" t="str">
        <f>IF(Data!$D66="",""," ! Roughness")</f>
        <v/>
      </c>
      <c r="C702" s="412"/>
      <c r="F702" s="412"/>
      <c r="G702" s="412"/>
    </row>
    <row r="703" spans="1:7">
      <c r="A703" s="412" t="str">
        <f>IF(Data!$D66="",",","    "&amp;Data!$J66/1000&amp;",")</f>
        <v>,</v>
      </c>
      <c r="B703" s="412" t="str">
        <f>IF(Data!$D66="",""," ! Thickness (m)")</f>
        <v/>
      </c>
      <c r="C703" s="412"/>
      <c r="F703" s="412"/>
      <c r="G703" s="412"/>
    </row>
    <row r="704" spans="1:7">
      <c r="A704" s="412" t="str">
        <f>IF(Data!$D66="",",","    "&amp;Data!$K66&amp;",")</f>
        <v>,</v>
      </c>
      <c r="B704" s="412" t="str">
        <f>IF(Data!$D66="",""," ! Conductivity (W/m-K)")</f>
        <v/>
      </c>
      <c r="C704" s="412"/>
      <c r="F704" s="412"/>
      <c r="G704" s="412"/>
    </row>
    <row r="705" spans="1:7">
      <c r="A705" s="412" t="str">
        <f>IF(Data!$D66="",",","    "&amp;Data!$L66&amp;",")</f>
        <v>,</v>
      </c>
      <c r="B705" s="412" t="str">
        <f>IF(Data!$D66="",""," ! Density kg/m3")</f>
        <v/>
      </c>
      <c r="C705" s="412"/>
      <c r="F705" s="412"/>
      <c r="G705" s="412"/>
    </row>
    <row r="706" spans="1:7">
      <c r="A706" s="412" t="str">
        <f>IF(Data!$D66="",",","    "&amp;Data!$M66&amp;",")</f>
        <v>,</v>
      </c>
      <c r="B706" s="412" t="str">
        <f>IF(Data!$D66="",""," ! Specific Heat (J/kg-K)")</f>
        <v/>
      </c>
      <c r="C706" s="412"/>
      <c r="F706" s="412"/>
      <c r="G706" s="412"/>
    </row>
    <row r="707" spans="1:7">
      <c r="A707" s="412" t="str">
        <f>IF(Data!$D66="",",","    "&amp;Data!$N66&amp;",")</f>
        <v>,</v>
      </c>
      <c r="B707" s="412" t="str">
        <f>IF(Data!$D66="",""," ! Thermal Absorptance")</f>
        <v/>
      </c>
      <c r="C707" s="412"/>
      <c r="F707" s="412"/>
      <c r="G707" s="412"/>
    </row>
    <row r="708" spans="1:7">
      <c r="A708" s="412" t="str">
        <f>IF(Data!$D66="",",","    "&amp;Data!$O66&amp;",")</f>
        <v>,</v>
      </c>
      <c r="B708" s="412" t="str">
        <f>IF(Data!$D66="",""," ! Solar Absorptance")</f>
        <v/>
      </c>
      <c r="C708" s="412"/>
      <c r="F708" s="412"/>
      <c r="G708" s="412"/>
    </row>
    <row r="709" spans="1:7">
      <c r="A709" s="412" t="str">
        <f>IF(Data!$D66="",",","    "&amp;Data!$P66&amp;";")</f>
        <v>,</v>
      </c>
      <c r="B709" s="412" t="str">
        <f>IF(Data!$D66="",""," ! Visible Absorptance")</f>
        <v/>
      </c>
      <c r="C709" s="412"/>
      <c r="F709" s="412"/>
      <c r="G709" s="412"/>
    </row>
    <row r="710" spans="1:7">
      <c r="A710" s="412"/>
      <c r="B710" s="412"/>
      <c r="C710" s="412"/>
      <c r="F710" s="412"/>
      <c r="G710" s="412"/>
    </row>
    <row r="711" spans="1:7">
      <c r="A711" s="412" t="str">
        <f>IF(Data!$D67="","","Material,")</f>
        <v/>
      </c>
      <c r="B711" s="412" t="str">
        <f>IF(Data!$D67="",""," ! User material def'n from MATERIALS spreadsheet,")</f>
        <v/>
      </c>
      <c r="C711" s="412"/>
      <c r="F711" s="412"/>
      <c r="G711" s="412"/>
    </row>
    <row r="712" spans="1:7">
      <c r="A712" s="412" t="str">
        <f>IF(Data!$D67="","","    Matl "&amp;Data!$C67&amp;" "&amp;Data!$D67&amp;",")</f>
        <v/>
      </c>
      <c r="B712" s="412" t="str">
        <f>IF(Data!$D67="",""," ! under # ser material def'n from MATERIALS spreadsheet,")</f>
        <v/>
      </c>
      <c r="C712" s="412"/>
      <c r="F712" s="412"/>
      <c r="G712" s="412"/>
    </row>
    <row r="713" spans="1:7">
      <c r="A713" s="412" t="str">
        <f>IF(Data!$D67="",",","    "&amp;Data!$I67&amp;",")</f>
        <v>,</v>
      </c>
      <c r="B713" s="412" t="str">
        <f>IF(Data!$D67="",""," ! Roughness")</f>
        <v/>
      </c>
      <c r="C713" s="412"/>
      <c r="F713" s="412"/>
      <c r="G713" s="412"/>
    </row>
    <row r="714" spans="1:7">
      <c r="A714" s="412" t="str">
        <f>IF(Data!$D67="",",","    "&amp;Data!$J67/1000&amp;",")</f>
        <v>,</v>
      </c>
      <c r="B714" s="412" t="str">
        <f>IF(Data!$D67="",""," ! Thickness (m)")</f>
        <v/>
      </c>
      <c r="C714" s="412"/>
      <c r="F714" s="412"/>
      <c r="G714" s="412"/>
    </row>
    <row r="715" spans="1:7">
      <c r="A715" s="412" t="str">
        <f>IF(Data!$D67="",",","    "&amp;Data!$K67&amp;",")</f>
        <v>,</v>
      </c>
      <c r="B715" s="412" t="str">
        <f>IF(Data!$D67="",""," ! Conductivity (W/m-K)")</f>
        <v/>
      </c>
      <c r="C715" s="412"/>
      <c r="F715" s="412"/>
      <c r="G715" s="412"/>
    </row>
    <row r="716" spans="1:7">
      <c r="A716" s="412" t="str">
        <f>IF(Data!$D67="",",","    "&amp;Data!$L67&amp;",")</f>
        <v>,</v>
      </c>
      <c r="B716" s="412" t="str">
        <f>IF(Data!$D67="",""," ! Density kg/m3")</f>
        <v/>
      </c>
      <c r="C716" s="412"/>
      <c r="F716" s="412"/>
      <c r="G716" s="412"/>
    </row>
    <row r="717" spans="1:7">
      <c r="A717" s="412" t="str">
        <f>IF(Data!$D67="",",","    "&amp;Data!$M67&amp;",")</f>
        <v>,</v>
      </c>
      <c r="B717" s="412" t="str">
        <f>IF(Data!$D67="",""," ! Specific Heat (J/kg-K)")</f>
        <v/>
      </c>
      <c r="C717" s="412"/>
      <c r="F717" s="412"/>
      <c r="G717" s="412"/>
    </row>
    <row r="718" spans="1:7">
      <c r="A718" s="412" t="str">
        <f>IF(Data!$D67="",",","    "&amp;Data!$N67&amp;",")</f>
        <v>,</v>
      </c>
      <c r="B718" s="412" t="str">
        <f>IF(Data!$D67="",""," ! Thermal Absorptance")</f>
        <v/>
      </c>
      <c r="C718" s="412"/>
      <c r="F718" s="412"/>
      <c r="G718" s="412"/>
    </row>
    <row r="719" spans="1:7">
      <c r="A719" s="412" t="str">
        <f>IF(Data!$D67="",",","    "&amp;Data!$O67&amp;",")</f>
        <v>,</v>
      </c>
      <c r="B719" s="412" t="str">
        <f>IF(Data!$D67="",""," ! Solar Absorptance")</f>
        <v/>
      </c>
      <c r="C719" s="412"/>
      <c r="F719" s="412"/>
      <c r="G719" s="412"/>
    </row>
    <row r="720" spans="1:7">
      <c r="A720" s="412" t="str">
        <f>IF(Data!$D67="",",","    "&amp;Data!$P67&amp;";")</f>
        <v>,</v>
      </c>
      <c r="B720" s="412" t="str">
        <f>IF(Data!$D67="",""," ! Visible Absorptance")</f>
        <v/>
      </c>
      <c r="C720" s="412"/>
      <c r="F720" s="412"/>
      <c r="G720" s="412"/>
    </row>
    <row r="721" spans="1:7">
      <c r="A721" s="412"/>
      <c r="B721" s="412"/>
      <c r="C721" s="412"/>
      <c r="F721" s="412"/>
      <c r="G721" s="412"/>
    </row>
    <row r="722" spans="1:7">
      <c r="A722" s="412" t="str">
        <f>IF(Data!$D68="","","Material,")</f>
        <v/>
      </c>
      <c r="B722" s="412" t="str">
        <f>IF(Data!$D68="",""," ! User material def'n from MATERIALS spreadsheet,")</f>
        <v/>
      </c>
      <c r="C722" s="412"/>
      <c r="F722" s="412"/>
      <c r="G722" s="412"/>
    </row>
    <row r="723" spans="1:7">
      <c r="A723" s="412" t="str">
        <f>IF(Data!$D68="","","    Matl "&amp;Data!$C68&amp;" "&amp;Data!$D68&amp;",")</f>
        <v/>
      </c>
      <c r="B723" s="412" t="str">
        <f>IF(Data!$D68="",""," ! under # ser material def'n from MATERIALS spreadsheet,")</f>
        <v/>
      </c>
      <c r="C723" s="412"/>
      <c r="F723" s="412"/>
      <c r="G723" s="412"/>
    </row>
    <row r="724" spans="1:7">
      <c r="A724" s="412" t="str">
        <f>IF(Data!$D68="",",","    "&amp;Data!$I68&amp;",")</f>
        <v>,</v>
      </c>
      <c r="B724" s="412" t="str">
        <f>IF(Data!$D68="",""," ! Roughness")</f>
        <v/>
      </c>
      <c r="C724" s="412"/>
      <c r="F724" s="412"/>
      <c r="G724" s="412"/>
    </row>
    <row r="725" spans="1:7">
      <c r="A725" s="412" t="str">
        <f>IF(Data!$D68="",",","    "&amp;Data!$J68/1000&amp;",")</f>
        <v>,</v>
      </c>
      <c r="B725" s="412" t="str">
        <f>IF(Data!$D68="",""," ! Thickness (m)")</f>
        <v/>
      </c>
      <c r="C725" s="412"/>
      <c r="F725" s="412"/>
      <c r="G725" s="412"/>
    </row>
    <row r="726" spans="1:7">
      <c r="A726" s="412" t="str">
        <f>IF(Data!$D68="",",","    "&amp;Data!$K68&amp;",")</f>
        <v>,</v>
      </c>
      <c r="B726" s="412" t="str">
        <f>IF(Data!$D68="",""," ! Conductivity (W/m-K)")</f>
        <v/>
      </c>
      <c r="C726" s="412"/>
      <c r="F726" s="412"/>
      <c r="G726" s="412"/>
    </row>
    <row r="727" spans="1:7">
      <c r="A727" s="412" t="str">
        <f>IF(Data!$D68="",",","    "&amp;Data!$L68&amp;",")</f>
        <v>,</v>
      </c>
      <c r="B727" s="412" t="str">
        <f>IF(Data!$D68="",""," ! Density kg/m3")</f>
        <v/>
      </c>
      <c r="C727" s="412"/>
      <c r="F727" s="412"/>
      <c r="G727" s="412"/>
    </row>
    <row r="728" spans="1:7">
      <c r="A728" s="412" t="str">
        <f>IF(Data!$D68="",",","    "&amp;Data!$M68&amp;",")</f>
        <v>,</v>
      </c>
      <c r="B728" s="412" t="str">
        <f>IF(Data!$D68="",""," ! Specific Heat (J/kg-K)")</f>
        <v/>
      </c>
      <c r="C728" s="412"/>
      <c r="F728" s="412"/>
      <c r="G728" s="412"/>
    </row>
    <row r="729" spans="1:7">
      <c r="A729" s="412" t="str">
        <f>IF(Data!$D68="",",","    "&amp;Data!$N68&amp;",")</f>
        <v>,</v>
      </c>
      <c r="B729" s="412" t="str">
        <f>IF(Data!$D68="",""," ! Thermal Absorptance")</f>
        <v/>
      </c>
      <c r="C729" s="412"/>
      <c r="F729" s="412"/>
      <c r="G729" s="412"/>
    </row>
    <row r="730" spans="1:7">
      <c r="A730" s="412" t="str">
        <f>IF(Data!$D68="",",","    "&amp;Data!$O68&amp;",")</f>
        <v>,</v>
      </c>
      <c r="B730" s="412" t="str">
        <f>IF(Data!$D68="",""," ! Solar Absorptance")</f>
        <v/>
      </c>
      <c r="C730" s="412"/>
      <c r="F730" s="412"/>
      <c r="G730" s="412"/>
    </row>
    <row r="731" spans="1:7">
      <c r="A731" s="412" t="str">
        <f>IF(Data!$D68="",",","    "&amp;Data!$P68&amp;";")</f>
        <v>,</v>
      </c>
      <c r="B731" s="412" t="str">
        <f>IF(Data!$D68="",""," ! Visible Absorptance")</f>
        <v/>
      </c>
      <c r="C731" s="412"/>
      <c r="F731" s="412"/>
      <c r="G731" s="412"/>
    </row>
    <row r="732" spans="1:7">
      <c r="A732" s="412"/>
      <c r="B732" s="412"/>
      <c r="C732" s="412"/>
      <c r="F732" s="412"/>
      <c r="G732" s="412"/>
    </row>
    <row r="733" spans="1:7">
      <c r="A733" s="412" t="str">
        <f>IF(Data!$D69="","","Material,")</f>
        <v/>
      </c>
      <c r="B733" s="412" t="str">
        <f>IF(Data!$D69="",""," ! User material def'n from MATERIALS spreadsheet,")</f>
        <v/>
      </c>
      <c r="C733" s="412"/>
      <c r="F733" s="412"/>
      <c r="G733" s="412"/>
    </row>
    <row r="734" spans="1:7">
      <c r="A734" s="412" t="str">
        <f>IF(Data!$D69="","","    Matl "&amp;Data!$C69&amp;" "&amp;Data!$D69&amp;",")</f>
        <v/>
      </c>
      <c r="B734" s="412" t="str">
        <f>IF(Data!$D69="",""," ! under # ser material def'n from MATERIALS spreadsheet,")</f>
        <v/>
      </c>
      <c r="C734" s="412"/>
      <c r="F734" s="412"/>
      <c r="G734" s="412"/>
    </row>
    <row r="735" spans="1:7">
      <c r="A735" s="412" t="str">
        <f>IF(Data!$D69="",",","    "&amp;Data!$I69&amp;",")</f>
        <v>,</v>
      </c>
      <c r="B735" s="412" t="str">
        <f>IF(Data!$D69="",""," ! Roughness")</f>
        <v/>
      </c>
      <c r="C735" s="412"/>
      <c r="F735" s="412"/>
      <c r="G735" s="412"/>
    </row>
    <row r="736" spans="1:7">
      <c r="A736" s="412" t="str">
        <f>IF(Data!$D69="",",","    "&amp;Data!$J69/1000&amp;",")</f>
        <v>,</v>
      </c>
      <c r="B736" s="412" t="str">
        <f>IF(Data!$D69="",""," ! Thickness (m)")</f>
        <v/>
      </c>
      <c r="C736" s="412"/>
      <c r="F736" s="412"/>
      <c r="G736" s="412"/>
    </row>
    <row r="737" spans="1:7">
      <c r="A737" s="412" t="str">
        <f>IF(Data!$D69="",",","    "&amp;Data!$K69&amp;",")</f>
        <v>,</v>
      </c>
      <c r="B737" s="412" t="str">
        <f>IF(Data!$D69="",""," ! Conductivity (W/m-K)")</f>
        <v/>
      </c>
      <c r="C737" s="412"/>
      <c r="F737" s="412"/>
      <c r="G737" s="412"/>
    </row>
    <row r="738" spans="1:7">
      <c r="A738" s="412" t="str">
        <f>IF(Data!$D69="",",","    "&amp;Data!$L69&amp;",")</f>
        <v>,</v>
      </c>
      <c r="B738" s="412" t="str">
        <f>IF(Data!$D69="",""," ! Density kg/m3")</f>
        <v/>
      </c>
      <c r="C738" s="412"/>
      <c r="F738" s="412"/>
      <c r="G738" s="412"/>
    </row>
    <row r="739" spans="1:7">
      <c r="A739" s="412" t="str">
        <f>IF(Data!$D69="",",","    "&amp;Data!$M69&amp;",")</f>
        <v>,</v>
      </c>
      <c r="B739" s="412" t="str">
        <f>IF(Data!$D69="",""," ! Specific Heat (J/kg-K)")</f>
        <v/>
      </c>
      <c r="C739" s="412"/>
      <c r="F739" s="412"/>
      <c r="G739" s="412"/>
    </row>
    <row r="740" spans="1:7">
      <c r="A740" s="412" t="str">
        <f>IF(Data!$D69="",",","    "&amp;Data!$N69&amp;",")</f>
        <v>,</v>
      </c>
      <c r="B740" s="412" t="str">
        <f>IF(Data!$D69="",""," ! Thermal Absorptance")</f>
        <v/>
      </c>
      <c r="C740" s="412"/>
      <c r="F740" s="412"/>
      <c r="G740" s="412"/>
    </row>
    <row r="741" spans="1:7">
      <c r="A741" s="412" t="str">
        <f>IF(Data!$D69="",",","    "&amp;Data!$O69&amp;",")</f>
        <v>,</v>
      </c>
      <c r="B741" s="412" t="str">
        <f>IF(Data!$D69="",""," ! Solar Absorptance")</f>
        <v/>
      </c>
      <c r="C741" s="412"/>
      <c r="F741" s="412"/>
      <c r="G741" s="412"/>
    </row>
    <row r="742" spans="1:7">
      <c r="A742" s="412" t="str">
        <f>IF(Data!$D69="",",","    "&amp;Data!$P69&amp;";")</f>
        <v>,</v>
      </c>
      <c r="B742" s="412" t="str">
        <f>IF(Data!$D69="",""," ! Visible Absorptance")</f>
        <v/>
      </c>
      <c r="C742" s="412"/>
      <c r="F742" s="412"/>
      <c r="G742" s="412"/>
    </row>
    <row r="743" spans="1:7">
      <c r="A743" s="412"/>
      <c r="B743" s="412"/>
      <c r="C743" s="412"/>
      <c r="F743" s="412"/>
      <c r="G743" s="412"/>
    </row>
    <row r="744" spans="1:7">
      <c r="A744" s="412" t="str">
        <f>IF(Data!$D70="","","Material,")</f>
        <v/>
      </c>
      <c r="B744" s="412" t="str">
        <f>IF(Data!$D70="",""," ! User material def'n from MATERIALS spreadsheet,")</f>
        <v/>
      </c>
      <c r="C744" s="412"/>
      <c r="F744" s="412"/>
      <c r="G744" s="412"/>
    </row>
    <row r="745" spans="1:7">
      <c r="A745" s="412" t="str">
        <f>IF(Data!$D70="","","    Matl "&amp;Data!$C70&amp;" "&amp;Data!$D70&amp;",")</f>
        <v/>
      </c>
      <c r="B745" s="412" t="str">
        <f>IF(Data!$D70="",""," ! under # ser material def'n from MATERIALS spreadsheet,")</f>
        <v/>
      </c>
      <c r="C745" s="412"/>
      <c r="F745" s="412"/>
      <c r="G745" s="412"/>
    </row>
    <row r="746" spans="1:7">
      <c r="A746" s="412" t="str">
        <f>IF(Data!$D70="",",","    "&amp;Data!$I70&amp;",")</f>
        <v>,</v>
      </c>
      <c r="B746" s="412" t="str">
        <f>IF(Data!$D70="",""," ! Roughness")</f>
        <v/>
      </c>
      <c r="C746" s="412"/>
      <c r="F746" s="412"/>
      <c r="G746" s="412"/>
    </row>
    <row r="747" spans="1:7">
      <c r="A747" s="412" t="str">
        <f>IF(Data!$D70="",",","    "&amp;Data!$J70/1000&amp;",")</f>
        <v>,</v>
      </c>
      <c r="B747" s="412" t="str">
        <f>IF(Data!$D70="",""," ! Thickness (m)")</f>
        <v/>
      </c>
      <c r="C747" s="412"/>
      <c r="F747" s="412"/>
      <c r="G747" s="412"/>
    </row>
    <row r="748" spans="1:7">
      <c r="A748" s="412" t="str">
        <f>IF(Data!$D70="",",","    "&amp;Data!$K70&amp;",")</f>
        <v>,</v>
      </c>
      <c r="B748" s="412" t="str">
        <f>IF(Data!$D70="",""," ! Conductivity (W/m-K)")</f>
        <v/>
      </c>
      <c r="C748" s="412"/>
      <c r="F748" s="412"/>
      <c r="G748" s="412"/>
    </row>
    <row r="749" spans="1:7">
      <c r="A749" s="412" t="str">
        <f>IF(Data!$D70="",",","    "&amp;Data!$L70&amp;",")</f>
        <v>,</v>
      </c>
      <c r="B749" s="412" t="str">
        <f>IF(Data!$D70="",""," ! Density kg/m3")</f>
        <v/>
      </c>
      <c r="C749" s="412"/>
      <c r="F749" s="412"/>
      <c r="G749" s="412"/>
    </row>
    <row r="750" spans="1:7">
      <c r="A750" s="412" t="str">
        <f>IF(Data!$D70="",",","    "&amp;Data!$M70&amp;",")</f>
        <v>,</v>
      </c>
      <c r="B750" s="412" t="str">
        <f>IF(Data!$D70="",""," ! Specific Heat (J/kg-K)")</f>
        <v/>
      </c>
      <c r="C750" s="412"/>
      <c r="F750" s="412"/>
      <c r="G750" s="412"/>
    </row>
    <row r="751" spans="1:7">
      <c r="A751" s="412" t="str">
        <f>IF(Data!$D70="",",","    "&amp;Data!$N70&amp;",")</f>
        <v>,</v>
      </c>
      <c r="B751" s="412" t="str">
        <f>IF(Data!$D70="",""," ! Thermal Absorptance")</f>
        <v/>
      </c>
      <c r="C751" s="412"/>
      <c r="F751" s="412"/>
      <c r="G751" s="412"/>
    </row>
    <row r="752" spans="1:7">
      <c r="A752" s="412" t="str">
        <f>IF(Data!$D70="",",","    "&amp;Data!$O70&amp;",")</f>
        <v>,</v>
      </c>
      <c r="B752" s="412" t="str">
        <f>IF(Data!$D70="",""," ! Solar Absorptance")</f>
        <v/>
      </c>
      <c r="C752" s="412"/>
      <c r="F752" s="412"/>
      <c r="G752" s="412"/>
    </row>
    <row r="753" spans="1:7">
      <c r="A753" s="412" t="str">
        <f>IF(Data!$D70="",",","    "&amp;Data!$P70&amp;";")</f>
        <v>,</v>
      </c>
      <c r="B753" s="412" t="str">
        <f>IF(Data!$D70="",""," ! Visible Absorptance")</f>
        <v/>
      </c>
      <c r="C753" s="412"/>
      <c r="F753" s="412"/>
      <c r="G753" s="412"/>
    </row>
    <row r="754" spans="1:7">
      <c r="A754" s="412"/>
      <c r="B754" s="412"/>
      <c r="C754" s="412"/>
      <c r="F754" s="412"/>
      <c r="G754" s="412"/>
    </row>
    <row r="755" spans="1:7">
      <c r="A755" s="412" t="str">
        <f>IF(Data!$D71="","","Material,")</f>
        <v/>
      </c>
      <c r="B755" s="412" t="str">
        <f>IF(Data!$D71="",""," ! User material def'n from MATERIALS spreadsheet,")</f>
        <v/>
      </c>
      <c r="C755" s="412"/>
      <c r="F755" s="412"/>
      <c r="G755" s="412"/>
    </row>
    <row r="756" spans="1:7">
      <c r="A756" s="412" t="str">
        <f>IF(Data!$D71="","","    Matl "&amp;Data!$C71&amp;" "&amp;Data!$D71&amp;",")</f>
        <v/>
      </c>
      <c r="B756" s="412" t="str">
        <f>IF(Data!$D71="",""," ! under # ser material def'n from MATERIALS spreadsheet,")</f>
        <v/>
      </c>
      <c r="C756" s="412"/>
      <c r="F756" s="412"/>
      <c r="G756" s="412"/>
    </row>
    <row r="757" spans="1:7">
      <c r="A757" s="412" t="str">
        <f>IF(Data!$D71="",",","    "&amp;Data!$I71&amp;",")</f>
        <v>,</v>
      </c>
      <c r="B757" s="412" t="str">
        <f>IF(Data!$D71="",""," ! Roughness")</f>
        <v/>
      </c>
      <c r="C757" s="412"/>
      <c r="F757" s="412"/>
      <c r="G757" s="412"/>
    </row>
    <row r="758" spans="1:7">
      <c r="A758" s="412" t="str">
        <f>IF(Data!$D71="",",","    "&amp;Data!$J71/1000&amp;",")</f>
        <v>,</v>
      </c>
      <c r="B758" s="412" t="str">
        <f>IF(Data!$D71="",""," ! Thickness (m)")</f>
        <v/>
      </c>
      <c r="C758" s="412"/>
      <c r="F758" s="412"/>
      <c r="G758" s="412"/>
    </row>
    <row r="759" spans="1:7">
      <c r="A759" s="412" t="str">
        <f>IF(Data!$D71="",",","    "&amp;Data!$K71&amp;",")</f>
        <v>,</v>
      </c>
      <c r="B759" s="412" t="str">
        <f>IF(Data!$D71="",""," ! Conductivity (W/m-K)")</f>
        <v/>
      </c>
      <c r="C759" s="412"/>
      <c r="F759" s="412"/>
      <c r="G759" s="412"/>
    </row>
    <row r="760" spans="1:7">
      <c r="A760" s="412" t="str">
        <f>IF(Data!$D71="",",","    "&amp;Data!$L71&amp;",")</f>
        <v>,</v>
      </c>
      <c r="B760" s="412" t="str">
        <f>IF(Data!$D71="",""," ! Density kg/m3")</f>
        <v/>
      </c>
      <c r="C760" s="412"/>
      <c r="F760" s="412"/>
      <c r="G760" s="412"/>
    </row>
    <row r="761" spans="1:7">
      <c r="A761" s="412" t="str">
        <f>IF(Data!$D71="",",","    "&amp;Data!$M71&amp;",")</f>
        <v>,</v>
      </c>
      <c r="B761" s="412" t="str">
        <f>IF(Data!$D71="",""," ! Specific Heat (J/kg-K)")</f>
        <v/>
      </c>
      <c r="C761" s="412"/>
      <c r="F761" s="412"/>
      <c r="G761" s="412"/>
    </row>
    <row r="762" spans="1:7">
      <c r="A762" s="412" t="str">
        <f>IF(Data!$D71="",",","    "&amp;Data!$N71&amp;",")</f>
        <v>,</v>
      </c>
      <c r="B762" s="412" t="str">
        <f>IF(Data!$D71="",""," ! Thermal Absorptance")</f>
        <v/>
      </c>
      <c r="C762" s="412"/>
      <c r="F762" s="412"/>
      <c r="G762" s="412"/>
    </row>
    <row r="763" spans="1:7">
      <c r="A763" s="412" t="str">
        <f>IF(Data!$D71="",",","    "&amp;Data!$O71&amp;",")</f>
        <v>,</v>
      </c>
      <c r="B763" s="412" t="str">
        <f>IF(Data!$D71="",""," ! Solar Absorptance")</f>
        <v/>
      </c>
      <c r="C763" s="412"/>
      <c r="F763" s="412"/>
      <c r="G763" s="412"/>
    </row>
    <row r="764" spans="1:7">
      <c r="A764" s="412" t="str">
        <f>IF(Data!$D71="",",","    "&amp;Data!$P71&amp;";")</f>
        <v>,</v>
      </c>
      <c r="B764" s="412" t="str">
        <f>IF(Data!$D71="",""," ! Visible Absorptance")</f>
        <v/>
      </c>
      <c r="C764" s="412"/>
      <c r="F764" s="412"/>
      <c r="G764" s="412"/>
    </row>
    <row r="765" spans="1:7">
      <c r="A765" s="412"/>
      <c r="B765" s="412"/>
      <c r="C765" s="412"/>
      <c r="F765" s="412"/>
      <c r="G765" s="412"/>
    </row>
    <row r="766" spans="1:7">
      <c r="A766" s="412" t="str">
        <f>IF(Data!$D72="","","Material,")</f>
        <v/>
      </c>
      <c r="B766" s="412" t="str">
        <f>IF(Data!$D72="",""," ! User material def'n from MATERIALS spreadsheet,")</f>
        <v/>
      </c>
      <c r="C766" s="412"/>
      <c r="F766" s="412"/>
      <c r="G766" s="412"/>
    </row>
    <row r="767" spans="1:7">
      <c r="A767" s="412" t="str">
        <f>IF(Data!$D72="","","    Matl "&amp;Data!$C72&amp;" "&amp;Data!$D72&amp;",")</f>
        <v/>
      </c>
      <c r="B767" s="412" t="str">
        <f>IF(Data!$D72="",""," ! under # ser material def'n from MATERIALS spreadsheet,")</f>
        <v/>
      </c>
      <c r="C767" s="412"/>
      <c r="F767" s="412"/>
      <c r="G767" s="412"/>
    </row>
    <row r="768" spans="1:7">
      <c r="A768" s="412" t="str">
        <f>IF(Data!$D72="",",","    "&amp;Data!$I72&amp;",")</f>
        <v>,</v>
      </c>
      <c r="B768" s="412" t="str">
        <f>IF(Data!$D72="",""," ! Roughness")</f>
        <v/>
      </c>
      <c r="C768" s="412"/>
      <c r="F768" s="412"/>
      <c r="G768" s="412"/>
    </row>
    <row r="769" spans="1:7">
      <c r="A769" s="412" t="str">
        <f>IF(Data!$D72="",",","    "&amp;Data!$J72/1000&amp;",")</f>
        <v>,</v>
      </c>
      <c r="B769" s="412" t="str">
        <f>IF(Data!$D72="",""," ! Thickness (m)")</f>
        <v/>
      </c>
      <c r="C769" s="412"/>
      <c r="F769" s="412"/>
      <c r="G769" s="412"/>
    </row>
    <row r="770" spans="1:7">
      <c r="A770" s="412" t="str">
        <f>IF(Data!$D72="",",","    "&amp;Data!$K72&amp;",")</f>
        <v>,</v>
      </c>
      <c r="B770" s="412" t="str">
        <f>IF(Data!$D72="",""," ! Conductivity (W/m-K)")</f>
        <v/>
      </c>
      <c r="C770" s="412"/>
      <c r="F770" s="412"/>
      <c r="G770" s="412"/>
    </row>
    <row r="771" spans="1:7">
      <c r="A771" s="412" t="str">
        <f>IF(Data!$D72="",",","    "&amp;Data!$L72&amp;",")</f>
        <v>,</v>
      </c>
      <c r="B771" s="412" t="str">
        <f>IF(Data!$D72="",""," ! Density kg/m3")</f>
        <v/>
      </c>
      <c r="C771" s="412"/>
      <c r="F771" s="412"/>
      <c r="G771" s="412"/>
    </row>
    <row r="772" spans="1:7">
      <c r="A772" s="412" t="str">
        <f>IF(Data!$D72="",",","    "&amp;Data!$M72&amp;",")</f>
        <v>,</v>
      </c>
      <c r="B772" s="412" t="str">
        <f>IF(Data!$D72="",""," ! Specific Heat (J/kg-K)")</f>
        <v/>
      </c>
      <c r="C772" s="412"/>
      <c r="F772" s="412"/>
      <c r="G772" s="412"/>
    </row>
    <row r="773" spans="1:7">
      <c r="A773" s="412" t="str">
        <f>IF(Data!$D72="",",","    "&amp;Data!$N72&amp;",")</f>
        <v>,</v>
      </c>
      <c r="B773" s="412" t="str">
        <f>IF(Data!$D72="",""," ! Thermal Absorptance")</f>
        <v/>
      </c>
    </row>
    <row r="774" spans="1:7">
      <c r="A774" s="412" t="str">
        <f>IF(Data!$D72="",",","    "&amp;Data!$O72&amp;",")</f>
        <v>,</v>
      </c>
      <c r="B774" s="412" t="str">
        <f>IF(Data!$D72="",""," ! Solar Absorptance")</f>
        <v/>
      </c>
    </row>
    <row r="775" spans="1:7">
      <c r="A775" s="412" t="str">
        <f>IF(Data!$D72="",",","    "&amp;Data!$P72&amp;";")</f>
        <v>,</v>
      </c>
      <c r="B775" s="412" t="str">
        <f>IF(Data!$D72="",""," ! Visible Absorptance")</f>
        <v/>
      </c>
    </row>
    <row r="776" spans="1:7">
      <c r="A776" s="412"/>
      <c r="B776" s="412"/>
    </row>
    <row r="777" spans="1:7">
      <c r="A777" s="412" t="str">
        <f>IF(Data!$D73="","","Material,")</f>
        <v/>
      </c>
      <c r="B777" s="412" t="str">
        <f>IF(Data!$D73="",""," ! User material def'n from MATERIALS spreadsheet,")</f>
        <v/>
      </c>
    </row>
    <row r="778" spans="1:7">
      <c r="A778" s="412" t="str">
        <f>IF(Data!$D73="","","    Matl "&amp;Data!$C73&amp;" "&amp;Data!$D73&amp;",")</f>
        <v/>
      </c>
      <c r="B778" s="412" t="str">
        <f>IF(Data!$D73="",""," ! under # ser material def'n from MATERIALS spreadsheet,")</f>
        <v/>
      </c>
    </row>
    <row r="779" spans="1:7">
      <c r="A779" s="412" t="str">
        <f>IF(Data!$D73="",",","    "&amp;Data!$I73&amp;",")</f>
        <v>,</v>
      </c>
      <c r="B779" s="412" t="str">
        <f>IF(Data!$D73="",""," ! Roughness")</f>
        <v/>
      </c>
    </row>
    <row r="780" spans="1:7">
      <c r="A780" s="412" t="str">
        <f>IF(Data!$D73="",",","    "&amp;Data!$J73/1000&amp;",")</f>
        <v>,</v>
      </c>
      <c r="B780" s="412" t="str">
        <f>IF(Data!$D73="",""," ! Thickness (m)")</f>
        <v/>
      </c>
    </row>
    <row r="781" spans="1:7">
      <c r="A781" s="412" t="str">
        <f>IF(Data!$D73="",",","    "&amp;Data!$K73&amp;",")</f>
        <v>,</v>
      </c>
      <c r="B781" s="412" t="str">
        <f>IF(Data!$D73="",""," ! Conductivity (W/m-K)")</f>
        <v/>
      </c>
    </row>
    <row r="782" spans="1:7">
      <c r="A782" s="412" t="str">
        <f>IF(Data!$D73="",",","    "&amp;Data!$L73&amp;",")</f>
        <v>,</v>
      </c>
      <c r="B782" s="412" t="str">
        <f>IF(Data!$D73="",""," ! Density kg/m3")</f>
        <v/>
      </c>
    </row>
    <row r="783" spans="1:7">
      <c r="A783" s="412" t="str">
        <f>IF(Data!$D73="",",","    "&amp;Data!$M73&amp;",")</f>
        <v>,</v>
      </c>
      <c r="B783" s="412" t="str">
        <f>IF(Data!$D73="",""," ! Specific Heat (J/kg-K)")</f>
        <v/>
      </c>
    </row>
    <row r="784" spans="1:7">
      <c r="A784" s="412" t="str">
        <f>IF(Data!$D73="",",","    "&amp;Data!$N73&amp;",")</f>
        <v>,</v>
      </c>
      <c r="B784" s="412" t="str">
        <f>IF(Data!$D73="",""," ! Thermal Absorptance")</f>
        <v/>
      </c>
    </row>
    <row r="785" spans="1:2">
      <c r="A785" s="412" t="str">
        <f>IF(Data!$D73="",",","    "&amp;Data!$O73&amp;",")</f>
        <v>,</v>
      </c>
      <c r="B785" s="412" t="str">
        <f>IF(Data!$D73="",""," ! Solar Absorptance")</f>
        <v/>
      </c>
    </row>
    <row r="786" spans="1:2">
      <c r="A786" s="412" t="str">
        <f>IF(Data!$D73="",",","    "&amp;Data!$P73&amp;";")</f>
        <v>,</v>
      </c>
      <c r="B786" s="412" t="str">
        <f>IF(Data!$D73="",""," ! Visible Absorptance")</f>
        <v/>
      </c>
    </row>
    <row r="787" spans="1:2">
      <c r="A787" s="412"/>
      <c r="B787" s="412"/>
    </row>
    <row r="788" spans="1:2">
      <c r="A788" s="412" t="str">
        <f>IF(Data!$D74="","","Material,")</f>
        <v/>
      </c>
      <c r="B788" s="412" t="str">
        <f>IF(Data!$D74="",""," ! User material def'n from MATERIALS spreadsheet,")</f>
        <v/>
      </c>
    </row>
    <row r="789" spans="1:2">
      <c r="A789" s="412" t="str">
        <f>IF(Data!$D74="","","    Matl "&amp;Data!$C74&amp;" "&amp;Data!$D74&amp;",")</f>
        <v/>
      </c>
      <c r="B789" s="412" t="str">
        <f>IF(Data!$D74="",""," ! under # ser material def'n from MATERIALS spreadsheet,")</f>
        <v/>
      </c>
    </row>
    <row r="790" spans="1:2">
      <c r="A790" s="412" t="str">
        <f>IF(Data!$D74="",",","    "&amp;Data!$I74&amp;",")</f>
        <v>,</v>
      </c>
      <c r="B790" s="412" t="str">
        <f>IF(Data!$D74="",""," ! Roughness")</f>
        <v/>
      </c>
    </row>
    <row r="791" spans="1:2">
      <c r="A791" s="412" t="str">
        <f>IF(Data!$D74="",",","    "&amp;Data!$J74/1000&amp;",")</f>
        <v>,</v>
      </c>
      <c r="B791" s="412" t="str">
        <f>IF(Data!$D74="",""," ! Thickness (m)")</f>
        <v/>
      </c>
    </row>
    <row r="792" spans="1:2">
      <c r="A792" s="412" t="str">
        <f>IF(Data!$D74="",",","    "&amp;Data!$K74&amp;",")</f>
        <v>,</v>
      </c>
      <c r="B792" s="412" t="str">
        <f>IF(Data!$D74="",""," ! Conductivity (W/m-K)")</f>
        <v/>
      </c>
    </row>
    <row r="793" spans="1:2">
      <c r="A793" s="412" t="str">
        <f>IF(Data!$D74="",",","    "&amp;Data!$L74&amp;",")</f>
        <v>,</v>
      </c>
      <c r="B793" s="412" t="str">
        <f>IF(Data!$D74="",""," ! Density kg/m3")</f>
        <v/>
      </c>
    </row>
    <row r="794" spans="1:2">
      <c r="A794" s="412" t="str">
        <f>IF(Data!$D74="",",","    "&amp;Data!$M74&amp;",")</f>
        <v>,</v>
      </c>
      <c r="B794" s="412" t="str">
        <f>IF(Data!$D74="",""," ! Specific Heat (J/kg-K)")</f>
        <v/>
      </c>
    </row>
    <row r="795" spans="1:2">
      <c r="A795" s="412" t="str">
        <f>IF(Data!$D74="",",","    "&amp;Data!$N74&amp;",")</f>
        <v>,</v>
      </c>
      <c r="B795" s="412" t="str">
        <f>IF(Data!$D74="",""," ! Thermal Absorptance")</f>
        <v/>
      </c>
    </row>
    <row r="796" spans="1:2">
      <c r="A796" s="412" t="str">
        <f>IF(Data!$D74="",",","    "&amp;Data!$O74&amp;",")</f>
        <v>,</v>
      </c>
      <c r="B796" s="412" t="str">
        <f>IF(Data!$D74="",""," ! Solar Absorptance")</f>
        <v/>
      </c>
    </row>
    <row r="797" spans="1:2">
      <c r="A797" s="412" t="str">
        <f>IF(Data!$D74="",",","    "&amp;Data!$P74&amp;";")</f>
        <v>,</v>
      </c>
      <c r="B797" s="412" t="str">
        <f>IF(Data!$D74="",""," ! Visible Absorptance")</f>
        <v/>
      </c>
    </row>
    <row r="798" spans="1:2">
      <c r="A798" s="412"/>
      <c r="B798" s="412"/>
    </row>
    <row r="799" spans="1:2">
      <c r="A799" s="412" t="str">
        <f>IF(Data!$D75="","","Material,")</f>
        <v/>
      </c>
      <c r="B799" s="412" t="str">
        <f>IF(Data!$D75="",""," ! User material def'n from MATERIALS spreadsheet,")</f>
        <v/>
      </c>
    </row>
    <row r="800" spans="1:2">
      <c r="A800" s="412" t="str">
        <f>IF(Data!$D75="","","    Matl "&amp;Data!$C75&amp;" "&amp;Data!$D75&amp;",")</f>
        <v/>
      </c>
      <c r="B800" s="412" t="str">
        <f>IF(Data!$D75="",""," ! under # ser material def'n from MATERIALS spreadsheet,")</f>
        <v/>
      </c>
    </row>
    <row r="801" spans="1:2">
      <c r="A801" s="412" t="str">
        <f>IF(Data!$D75="",",","    "&amp;Data!$I75&amp;",")</f>
        <v>,</v>
      </c>
      <c r="B801" s="412" t="str">
        <f>IF(Data!$D75="",""," ! Roughness")</f>
        <v/>
      </c>
    </row>
    <row r="802" spans="1:2">
      <c r="A802" s="412" t="str">
        <f>IF(Data!$D75="",",","    "&amp;Data!$J75/1000&amp;",")</f>
        <v>,</v>
      </c>
      <c r="B802" s="412" t="str">
        <f>IF(Data!$D75="",""," ! Thickness (m)")</f>
        <v/>
      </c>
    </row>
    <row r="803" spans="1:2">
      <c r="A803" s="412" t="str">
        <f>IF(Data!$D75="",",","    "&amp;Data!$K75&amp;",")</f>
        <v>,</v>
      </c>
      <c r="B803" s="412" t="str">
        <f>IF(Data!$D75="",""," ! Conductivity (W/m-K)")</f>
        <v/>
      </c>
    </row>
    <row r="804" spans="1:2">
      <c r="A804" s="412" t="str">
        <f>IF(Data!$D75="",",","    "&amp;Data!$L75&amp;",")</f>
        <v>,</v>
      </c>
      <c r="B804" s="412" t="str">
        <f>IF(Data!$D75="",""," ! Density kg/m3")</f>
        <v/>
      </c>
    </row>
    <row r="805" spans="1:2">
      <c r="A805" s="412" t="str">
        <f>IF(Data!$D75="",",","    "&amp;Data!$M75&amp;",")</f>
        <v>,</v>
      </c>
      <c r="B805" s="412" t="str">
        <f>IF(Data!$D75="",""," ! Specific Heat (J/kg-K)")</f>
        <v/>
      </c>
    </row>
    <row r="806" spans="1:2">
      <c r="A806" s="412" t="str">
        <f>IF(Data!$D75="",",","    "&amp;Data!$N75&amp;",")</f>
        <v>,</v>
      </c>
      <c r="B806" s="412" t="str">
        <f>IF(Data!$D75="",""," ! Thermal Absorptance")</f>
        <v/>
      </c>
    </row>
    <row r="807" spans="1:2">
      <c r="A807" s="412" t="str">
        <f>IF(Data!$D75="",",","    "&amp;Data!$O75&amp;",")</f>
        <v>,</v>
      </c>
      <c r="B807" s="412" t="str">
        <f>IF(Data!$D75="",""," ! Solar Absorptance")</f>
        <v/>
      </c>
    </row>
    <row r="808" spans="1:2">
      <c r="A808" s="412" t="str">
        <f>IF(Data!$D75="",",","    "&amp;Data!$P75&amp;";")</f>
        <v>,</v>
      </c>
      <c r="B808" s="412" t="str">
        <f>IF(Data!$D75="",""," ! Visible Absorptance")</f>
        <v/>
      </c>
    </row>
    <row r="809" spans="1:2">
      <c r="A809" s="412"/>
      <c r="B809" s="412"/>
    </row>
    <row r="810" spans="1:2">
      <c r="A810" s="412" t="str">
        <f>IF(Data!$D76="","","Material,")</f>
        <v/>
      </c>
      <c r="B810" s="412" t="str">
        <f>IF(Data!$D76="",""," ! User material def'n from MATERIALS spreadsheet,")</f>
        <v/>
      </c>
    </row>
    <row r="811" spans="1:2">
      <c r="A811" s="412" t="str">
        <f>IF(Data!$D76="","","    Matl "&amp;Data!$C76&amp;" "&amp;Data!$D76&amp;",")</f>
        <v/>
      </c>
      <c r="B811" s="412" t="str">
        <f>IF(Data!$D76="",""," ! under # ser material def'n from MATERIALS spreadsheet,")</f>
        <v/>
      </c>
    </row>
    <row r="812" spans="1:2">
      <c r="A812" s="412" t="str">
        <f>IF(Data!$D76="",",","    "&amp;Data!$I76&amp;",")</f>
        <v>,</v>
      </c>
      <c r="B812" s="412" t="str">
        <f>IF(Data!$D76="",""," ! Roughness")</f>
        <v/>
      </c>
    </row>
    <row r="813" spans="1:2">
      <c r="A813" s="412" t="str">
        <f>IF(Data!$D76="",",","    "&amp;Data!$J76/1000&amp;",")</f>
        <v>,</v>
      </c>
      <c r="B813" s="412" t="str">
        <f>IF(Data!$D76="",""," ! Thickness (m)")</f>
        <v/>
      </c>
    </row>
    <row r="814" spans="1:2">
      <c r="A814" s="412" t="str">
        <f>IF(Data!$D76="",",","    "&amp;Data!$K76&amp;",")</f>
        <v>,</v>
      </c>
      <c r="B814" s="412" t="str">
        <f>IF(Data!$D76="",""," ! Conductivity (W/m-K)")</f>
        <v/>
      </c>
    </row>
    <row r="815" spans="1:2">
      <c r="A815" s="412" t="str">
        <f>IF(Data!$D76="",",","    "&amp;Data!$L76&amp;",")</f>
        <v>,</v>
      </c>
      <c r="B815" s="412" t="str">
        <f>IF(Data!$D76="",""," ! Density kg/m3")</f>
        <v/>
      </c>
    </row>
    <row r="816" spans="1:2">
      <c r="A816" s="412" t="str">
        <f>IF(Data!$D76="",",","    "&amp;Data!$M76&amp;",")</f>
        <v>,</v>
      </c>
      <c r="B816" s="412" t="str">
        <f>IF(Data!$D76="",""," ! Specific Heat (J/kg-K)")</f>
        <v/>
      </c>
    </row>
    <row r="817" spans="1:2">
      <c r="A817" s="412" t="str">
        <f>IF(Data!$D76="",",","    "&amp;Data!$N76&amp;",")</f>
        <v>,</v>
      </c>
      <c r="B817" s="412" t="str">
        <f>IF(Data!$D76="",""," ! Thermal Absorptance")</f>
        <v/>
      </c>
    </row>
    <row r="818" spans="1:2">
      <c r="A818" s="412" t="str">
        <f>IF(Data!$D76="",",","    "&amp;Data!$O76&amp;",")</f>
        <v>,</v>
      </c>
      <c r="B818" s="412" t="str">
        <f>IF(Data!$D76="",""," ! Solar Absorptance")</f>
        <v/>
      </c>
    </row>
    <row r="819" spans="1:2">
      <c r="A819" s="412" t="str">
        <f>IF(Data!$D76="",",","    "&amp;Data!$P76&amp;";")</f>
        <v>,</v>
      </c>
      <c r="B819" s="412" t="str">
        <f>IF(Data!$D76="",""," ! Visible Absorptance")</f>
        <v/>
      </c>
    </row>
    <row r="820" spans="1:2">
      <c r="A820" s="412"/>
      <c r="B820" s="412"/>
    </row>
    <row r="821" spans="1:2">
      <c r="A821" s="412" t="str">
        <f>IF(Data!$D77="","","Material,")</f>
        <v/>
      </c>
      <c r="B821" s="412" t="str">
        <f>IF(Data!$D77="",""," ! User material def'n from MATERIALS spreadsheet,")</f>
        <v/>
      </c>
    </row>
    <row r="822" spans="1:2">
      <c r="A822" s="412" t="str">
        <f>IF(Data!$D77="","","    Matl "&amp;Data!$C77&amp;" "&amp;Data!$D77&amp;",")</f>
        <v/>
      </c>
      <c r="B822" s="412" t="str">
        <f>IF(Data!$D77="",""," ! under # ser material def'n from MATERIALS spreadsheet,")</f>
        <v/>
      </c>
    </row>
    <row r="823" spans="1:2">
      <c r="A823" s="412" t="str">
        <f>IF(Data!$D77="",",","    "&amp;Data!$I77&amp;",")</f>
        <v>,</v>
      </c>
      <c r="B823" s="412" t="str">
        <f>IF(Data!$D77="",""," ! Roughness")</f>
        <v/>
      </c>
    </row>
    <row r="824" spans="1:2">
      <c r="A824" s="412" t="str">
        <f>IF(Data!$D77="",",","    "&amp;Data!$J77/1000&amp;",")</f>
        <v>,</v>
      </c>
      <c r="B824" s="412" t="str">
        <f>IF(Data!$D77="",""," ! Thickness (m)")</f>
        <v/>
      </c>
    </row>
    <row r="825" spans="1:2">
      <c r="A825" s="412" t="str">
        <f>IF(Data!$D77="",",","    "&amp;Data!$K77&amp;",")</f>
        <v>,</v>
      </c>
      <c r="B825" s="412" t="str">
        <f>IF(Data!$D77="",""," ! Conductivity (W/m-K)")</f>
        <v/>
      </c>
    </row>
    <row r="826" spans="1:2">
      <c r="A826" s="412" t="str">
        <f>IF(Data!$D77="",",","    "&amp;Data!$L77&amp;",")</f>
        <v>,</v>
      </c>
      <c r="B826" s="412" t="str">
        <f>IF(Data!$D77="",""," ! Density kg/m3")</f>
        <v/>
      </c>
    </row>
    <row r="827" spans="1:2">
      <c r="A827" s="412" t="str">
        <f>IF(Data!$D77="",",","    "&amp;Data!$M77&amp;",")</f>
        <v>,</v>
      </c>
      <c r="B827" s="412" t="str">
        <f>IF(Data!$D77="",""," ! Specific Heat (J/kg-K)")</f>
        <v/>
      </c>
    </row>
    <row r="828" spans="1:2">
      <c r="A828" s="412" t="str">
        <f>IF(Data!$D77="",",","    "&amp;Data!$N77&amp;",")</f>
        <v>,</v>
      </c>
      <c r="B828" s="412" t="str">
        <f>IF(Data!$D77="",""," ! Thermal Absorptance")</f>
        <v/>
      </c>
    </row>
    <row r="829" spans="1:2">
      <c r="A829" s="412" t="str">
        <f>IF(Data!$D77="",",","    "&amp;Data!$O77&amp;",")</f>
        <v>,</v>
      </c>
      <c r="B829" s="412" t="str">
        <f>IF(Data!$D77="",""," ! Solar Absorptance")</f>
        <v/>
      </c>
    </row>
    <row r="830" spans="1:2">
      <c r="A830" s="412" t="str">
        <f>IF(Data!$D77="",",","    "&amp;Data!$P77&amp;";")</f>
        <v>,</v>
      </c>
      <c r="B830" s="412" t="str">
        <f>IF(Data!$D77="",""," ! Visible Absorptance")</f>
        <v/>
      </c>
    </row>
    <row r="831" spans="1:2">
      <c r="A831" s="412"/>
      <c r="B831" s="412"/>
    </row>
    <row r="832" spans="1:2">
      <c r="A832" s="412" t="str">
        <f>IF(Data!$D78="","","Material,")</f>
        <v/>
      </c>
      <c r="B832" s="412" t="str">
        <f>IF(Data!$D78="",""," ! User material def'n from MATERIALS spreadsheet,")</f>
        <v/>
      </c>
    </row>
    <row r="833" spans="1:2">
      <c r="A833" s="412" t="str">
        <f>IF(Data!$D78="","","    Matl "&amp;Data!$C78&amp;" "&amp;Data!$D78&amp;",")</f>
        <v/>
      </c>
      <c r="B833" s="412" t="str">
        <f>IF(Data!$D78="",""," ! under # ser material def'n from MATERIALS spreadsheet,")</f>
        <v/>
      </c>
    </row>
    <row r="834" spans="1:2">
      <c r="A834" s="412" t="str">
        <f>IF(Data!$D78="",",","    "&amp;Data!$I78&amp;",")</f>
        <v>,</v>
      </c>
      <c r="B834" s="412" t="str">
        <f>IF(Data!$D78="",""," ! Roughness")</f>
        <v/>
      </c>
    </row>
    <row r="835" spans="1:2">
      <c r="A835" s="412" t="str">
        <f>IF(Data!$D78="",",","    "&amp;Data!$J78/1000&amp;",")</f>
        <v>,</v>
      </c>
      <c r="B835" s="412" t="str">
        <f>IF(Data!$D78="",""," ! Thickness (m)")</f>
        <v/>
      </c>
    </row>
    <row r="836" spans="1:2">
      <c r="A836" s="412" t="str">
        <f>IF(Data!$D78="",",","    "&amp;Data!$K78&amp;",")</f>
        <v>,</v>
      </c>
      <c r="B836" s="412" t="str">
        <f>IF(Data!$D78="",""," ! Conductivity (W/m-K)")</f>
        <v/>
      </c>
    </row>
    <row r="837" spans="1:2">
      <c r="A837" s="412" t="str">
        <f>IF(Data!$D78="",",","    "&amp;Data!$L78&amp;",")</f>
        <v>,</v>
      </c>
      <c r="B837" s="412" t="str">
        <f>IF(Data!$D78="",""," ! Density kg/m3")</f>
        <v/>
      </c>
    </row>
    <row r="838" spans="1:2">
      <c r="A838" s="412" t="str">
        <f>IF(Data!$D78="",",","    "&amp;Data!$M78&amp;",")</f>
        <v>,</v>
      </c>
      <c r="B838" s="412" t="str">
        <f>IF(Data!$D78="",""," ! Specific Heat (J/kg-K)")</f>
        <v/>
      </c>
    </row>
    <row r="839" spans="1:2">
      <c r="A839" s="412" t="str">
        <f>IF(Data!$D78="",",","    "&amp;Data!$N78&amp;",")</f>
        <v>,</v>
      </c>
      <c r="B839" s="412" t="str">
        <f>IF(Data!$D78="",""," ! Thermal Absorptance")</f>
        <v/>
      </c>
    </row>
    <row r="840" spans="1:2">
      <c r="A840" s="412" t="str">
        <f>IF(Data!$D78="",",","    "&amp;Data!$O78&amp;",")</f>
        <v>,</v>
      </c>
      <c r="B840" s="412" t="str">
        <f>IF(Data!$D78="",""," ! Solar Absorptance")</f>
        <v/>
      </c>
    </row>
    <row r="841" spans="1:2">
      <c r="A841" s="412" t="str">
        <f>IF(Data!$D78="",",","    "&amp;Data!$P78&amp;";")</f>
        <v>,</v>
      </c>
      <c r="B841" s="412" t="str">
        <f>IF(Data!$D78="",""," ! Visible Absorptance")</f>
        <v/>
      </c>
    </row>
    <row r="842" spans="1:2">
      <c r="A842" s="412"/>
      <c r="B842" s="412"/>
    </row>
    <row r="843" spans="1:2">
      <c r="A843" s="412" t="str">
        <f>IF(Data!$D79="","","Material,")</f>
        <v/>
      </c>
      <c r="B843" s="412" t="str">
        <f>IF(Data!$D79="",""," ! User material def'n from MATERIALS spreadsheet,")</f>
        <v/>
      </c>
    </row>
    <row r="844" spans="1:2">
      <c r="A844" s="412" t="str">
        <f>IF(Data!$D79="","","    Matl "&amp;Data!$C79&amp;" "&amp;Data!$D79&amp;",")</f>
        <v/>
      </c>
      <c r="B844" s="412" t="str">
        <f>IF(Data!$D79="",""," ! under # ser material def'n from MATERIALS spreadsheet,")</f>
        <v/>
      </c>
    </row>
    <row r="845" spans="1:2">
      <c r="A845" s="412" t="str">
        <f>IF(Data!$D79="",",","    "&amp;Data!$I79&amp;",")</f>
        <v>,</v>
      </c>
      <c r="B845" s="412" t="str">
        <f>IF(Data!$D79="",""," ! Roughness")</f>
        <v/>
      </c>
    </row>
    <row r="846" spans="1:2">
      <c r="A846" s="412" t="str">
        <f>IF(Data!$D79="",",","    "&amp;Data!$J79/1000&amp;",")</f>
        <v>,</v>
      </c>
      <c r="B846" s="412" t="str">
        <f>IF(Data!$D79="",""," ! Thickness (m)")</f>
        <v/>
      </c>
    </row>
    <row r="847" spans="1:2">
      <c r="A847" s="412" t="str">
        <f>IF(Data!$D79="",",","    "&amp;Data!$K79&amp;",")</f>
        <v>,</v>
      </c>
      <c r="B847" s="412" t="str">
        <f>IF(Data!$D79="",""," ! Conductivity (W/m-K)")</f>
        <v/>
      </c>
    </row>
    <row r="848" spans="1:2">
      <c r="A848" s="412" t="str">
        <f>IF(Data!$D79="",",","    "&amp;Data!$L79&amp;",")</f>
        <v>,</v>
      </c>
      <c r="B848" s="412" t="str">
        <f>IF(Data!$D79="",""," ! Density kg/m3")</f>
        <v/>
      </c>
    </row>
    <row r="849" spans="1:2">
      <c r="A849" s="412" t="str">
        <f>IF(Data!$D79="",",","    "&amp;Data!$M79&amp;",")</f>
        <v>,</v>
      </c>
      <c r="B849" s="412" t="str">
        <f>IF(Data!$D79="",""," ! Specific Heat (J/kg-K)")</f>
        <v/>
      </c>
    </row>
    <row r="850" spans="1:2">
      <c r="A850" s="412" t="str">
        <f>IF(Data!$D79="",",","    "&amp;Data!$N79&amp;",")</f>
        <v>,</v>
      </c>
      <c r="B850" s="412" t="str">
        <f>IF(Data!$D79="",""," ! Thermal Absorptance")</f>
        <v/>
      </c>
    </row>
    <row r="851" spans="1:2">
      <c r="A851" s="412" t="str">
        <f>IF(Data!$D79="",",","    "&amp;Data!$O79&amp;",")</f>
        <v>,</v>
      </c>
      <c r="B851" s="412" t="str">
        <f>IF(Data!$D79="",""," ! Solar Absorptance")</f>
        <v/>
      </c>
    </row>
    <row r="852" spans="1:2">
      <c r="A852" s="412" t="str">
        <f>IF(Data!$D79="",",","    "&amp;Data!$P79&amp;";")</f>
        <v>,</v>
      </c>
      <c r="B852" s="412" t="str">
        <f>IF(Data!$D79="",""," ! Visible Absorptance")</f>
        <v/>
      </c>
    </row>
    <row r="853" spans="1:2">
      <c r="A853" s="412"/>
      <c r="B853" s="412"/>
    </row>
    <row r="854" spans="1:2">
      <c r="A854" s="412" t="str">
        <f>IF(Data!$D80="","","Material,")</f>
        <v/>
      </c>
      <c r="B854" s="412" t="str">
        <f>IF(Data!$D80="",""," ! User material def'n from MATERIALS spreadsheet,")</f>
        <v/>
      </c>
    </row>
    <row r="855" spans="1:2">
      <c r="A855" s="412" t="str">
        <f>IF(Data!$D80="","","    Matl "&amp;Data!$C80&amp;" "&amp;Data!$D80&amp;",")</f>
        <v/>
      </c>
      <c r="B855" s="412" t="str">
        <f>IF(Data!$D80="",""," ! under # ser material def'n from MATERIALS spreadsheet,")</f>
        <v/>
      </c>
    </row>
    <row r="856" spans="1:2">
      <c r="A856" s="412" t="str">
        <f>IF(Data!$D80="",",","    "&amp;Data!$I80&amp;",")</f>
        <v>,</v>
      </c>
      <c r="B856" s="412" t="str">
        <f>IF(Data!$D80="",""," ! Roughness")</f>
        <v/>
      </c>
    </row>
    <row r="857" spans="1:2">
      <c r="A857" s="412" t="str">
        <f>IF(Data!$D80="",",","    "&amp;Data!$J80/1000&amp;",")</f>
        <v>,</v>
      </c>
      <c r="B857" s="412" t="str">
        <f>IF(Data!$D80="",""," ! Thickness (m)")</f>
        <v/>
      </c>
    </row>
    <row r="858" spans="1:2">
      <c r="A858" s="412" t="str">
        <f>IF(Data!$D80="",",","    "&amp;Data!$K80&amp;",")</f>
        <v>,</v>
      </c>
      <c r="B858" s="412" t="str">
        <f>IF(Data!$D80="",""," ! Conductivity (W/m-K)")</f>
        <v/>
      </c>
    </row>
    <row r="859" spans="1:2">
      <c r="A859" s="412" t="str">
        <f>IF(Data!$D80="",",","    "&amp;Data!$L80&amp;",")</f>
        <v>,</v>
      </c>
      <c r="B859" s="412" t="str">
        <f>IF(Data!$D80="",""," ! Density kg/m3")</f>
        <v/>
      </c>
    </row>
    <row r="860" spans="1:2">
      <c r="A860" s="412" t="str">
        <f>IF(Data!$D80="",",","    "&amp;Data!$M80&amp;",")</f>
        <v>,</v>
      </c>
      <c r="B860" s="412" t="str">
        <f>IF(Data!$D80="",""," ! Specific Heat (J/kg-K)")</f>
        <v/>
      </c>
    </row>
    <row r="861" spans="1:2">
      <c r="A861" s="412" t="str">
        <f>IF(Data!$D80="",",","    "&amp;Data!$N80&amp;",")</f>
        <v>,</v>
      </c>
      <c r="B861" s="412" t="str">
        <f>IF(Data!$D80="",""," ! Thermal Absorptance")</f>
        <v/>
      </c>
    </row>
    <row r="862" spans="1:2">
      <c r="A862" s="412" t="str">
        <f>IF(Data!$D80="",",","    "&amp;Data!$O80&amp;",")</f>
        <v>,</v>
      </c>
      <c r="B862" s="412" t="str">
        <f>IF(Data!$D80="",""," ! Solar Absorptance")</f>
        <v/>
      </c>
    </row>
    <row r="863" spans="1:2">
      <c r="A863" s="412" t="str">
        <f>IF(Data!$D80="",",","    "&amp;Data!$P80&amp;";")</f>
        <v>,</v>
      </c>
      <c r="B863" s="412" t="str">
        <f>IF(Data!$D80="",""," ! Visible Absorptance")</f>
        <v/>
      </c>
    </row>
    <row r="864" spans="1:2">
      <c r="A864" s="412"/>
      <c r="B864" s="412"/>
    </row>
    <row r="865" spans="1:2">
      <c r="A865" s="412" t="str">
        <f>IF(Data!$D81="","","Material,")</f>
        <v/>
      </c>
      <c r="B865" s="412" t="str">
        <f>IF(Data!$D81="",""," ! User material def'n from MATERIALS spreadsheet,")</f>
        <v/>
      </c>
    </row>
    <row r="866" spans="1:2">
      <c r="A866" s="412" t="str">
        <f>IF(Data!$D81="","","    Matl "&amp;Data!$C81&amp;" "&amp;Data!$D81&amp;",")</f>
        <v/>
      </c>
      <c r="B866" s="412" t="str">
        <f>IF(Data!$D81="",""," ! under # ser material def'n from MATERIALS spreadsheet,")</f>
        <v/>
      </c>
    </row>
    <row r="867" spans="1:2">
      <c r="A867" s="412" t="str">
        <f>IF(Data!$D81="",",","    "&amp;Data!$I81&amp;",")</f>
        <v>,</v>
      </c>
      <c r="B867" s="412" t="str">
        <f>IF(Data!$D81="",""," ! Roughness")</f>
        <v/>
      </c>
    </row>
    <row r="868" spans="1:2">
      <c r="A868" s="412" t="str">
        <f>IF(Data!$D81="",",","    "&amp;Data!$J81/1000&amp;",")</f>
        <v>,</v>
      </c>
      <c r="B868" s="412" t="str">
        <f>IF(Data!$D81="",""," ! Thickness (m)")</f>
        <v/>
      </c>
    </row>
    <row r="869" spans="1:2">
      <c r="A869" s="412" t="str">
        <f>IF(Data!$D81="",",","    "&amp;Data!$K81&amp;",")</f>
        <v>,</v>
      </c>
      <c r="B869" s="412" t="str">
        <f>IF(Data!$D81="",""," ! Conductivity (W/m-K)")</f>
        <v/>
      </c>
    </row>
    <row r="870" spans="1:2">
      <c r="A870" s="412" t="str">
        <f>IF(Data!$D81="",",","    "&amp;Data!$L81&amp;",")</f>
        <v>,</v>
      </c>
      <c r="B870" s="412" t="str">
        <f>IF(Data!$D81="",""," ! Density kg/m3")</f>
        <v/>
      </c>
    </row>
    <row r="871" spans="1:2">
      <c r="A871" s="412" t="str">
        <f>IF(Data!$D81="",",","    "&amp;Data!$M81&amp;",")</f>
        <v>,</v>
      </c>
      <c r="B871" s="412" t="str">
        <f>IF(Data!$D81="",""," ! Specific Heat (J/kg-K)")</f>
        <v/>
      </c>
    </row>
    <row r="872" spans="1:2">
      <c r="A872" s="412" t="str">
        <f>IF(Data!$D81="",",","    "&amp;Data!$N81&amp;",")</f>
        <v>,</v>
      </c>
      <c r="B872" s="412" t="str">
        <f>IF(Data!$D81="",""," ! Thermal Absorptance")</f>
        <v/>
      </c>
    </row>
    <row r="873" spans="1:2">
      <c r="A873" s="412" t="str">
        <f>IF(Data!$D81="",",","    "&amp;Data!$O81&amp;",")</f>
        <v>,</v>
      </c>
      <c r="B873" s="412" t="str">
        <f>IF(Data!$D81="",""," ! Solar Absorptance")</f>
        <v/>
      </c>
    </row>
    <row r="874" spans="1:2">
      <c r="A874" s="412" t="str">
        <f>IF(Data!$D81="",",","    "&amp;Data!$P81&amp;";")</f>
        <v>,</v>
      </c>
      <c r="B874" s="412" t="str">
        <f>IF(Data!$D81="",""," ! Visible Absorptance")</f>
        <v/>
      </c>
    </row>
    <row r="875" spans="1:2">
      <c r="A875" s="412"/>
      <c r="B875" s="412"/>
    </row>
    <row r="876" spans="1:2">
      <c r="A876" s="412" t="str">
        <f>IF(Data!$D82="","","Material,")</f>
        <v/>
      </c>
      <c r="B876" s="412" t="str">
        <f>IF(Data!$D82="",""," ! User material def'n from MATERIALS spreadsheet,")</f>
        <v/>
      </c>
    </row>
    <row r="877" spans="1:2">
      <c r="A877" s="412" t="str">
        <f>IF(Data!$D82="","","    Matl "&amp;Data!$C82&amp;" "&amp;Data!$D82&amp;",")</f>
        <v/>
      </c>
      <c r="B877" s="412" t="str">
        <f>IF(Data!$D82="",""," ! under # ser material def'n from MATERIALS spreadsheet,")</f>
        <v/>
      </c>
    </row>
    <row r="878" spans="1:2">
      <c r="A878" s="412" t="str">
        <f>IF(Data!$D82="",",","    "&amp;Data!$I82&amp;",")</f>
        <v>,</v>
      </c>
      <c r="B878" s="412" t="str">
        <f>IF(Data!$D82="",""," ! Roughness")</f>
        <v/>
      </c>
    </row>
    <row r="879" spans="1:2">
      <c r="A879" s="412" t="str">
        <f>IF(Data!$D82="",",","    "&amp;Data!$J82/1000&amp;",")</f>
        <v>,</v>
      </c>
      <c r="B879" s="412" t="str">
        <f>IF(Data!$D82="",""," ! Thickness (m)")</f>
        <v/>
      </c>
    </row>
    <row r="880" spans="1:2">
      <c r="A880" s="412" t="str">
        <f>IF(Data!$D82="",",","    "&amp;Data!$K82&amp;",")</f>
        <v>,</v>
      </c>
      <c r="B880" s="412" t="str">
        <f>IF(Data!$D82="",""," ! Conductivity (W/m-K)")</f>
        <v/>
      </c>
    </row>
    <row r="881" spans="1:2">
      <c r="A881" s="412" t="str">
        <f>IF(Data!$D82="",",","    "&amp;Data!$L82&amp;",")</f>
        <v>,</v>
      </c>
      <c r="B881" s="412" t="str">
        <f>IF(Data!$D82="",""," ! Density kg/m3")</f>
        <v/>
      </c>
    </row>
    <row r="882" spans="1:2">
      <c r="A882" s="412" t="str">
        <f>IF(Data!$D82="",",","    "&amp;Data!$M82&amp;",")</f>
        <v>,</v>
      </c>
      <c r="B882" s="412" t="str">
        <f>IF(Data!$D82="",""," ! Specific Heat (J/kg-K)")</f>
        <v/>
      </c>
    </row>
    <row r="883" spans="1:2">
      <c r="A883" s="412" t="str">
        <f>IF(Data!$D82="",",","    "&amp;Data!$N82&amp;",")</f>
        <v>,</v>
      </c>
      <c r="B883" s="412" t="str">
        <f>IF(Data!$D82="",""," ! Thermal Absorptance")</f>
        <v/>
      </c>
    </row>
    <row r="884" spans="1:2">
      <c r="A884" s="412" t="str">
        <f>IF(Data!$D82="",",","    "&amp;Data!$O82&amp;",")</f>
        <v>,</v>
      </c>
      <c r="B884" s="412" t="str">
        <f>IF(Data!$D82="",""," ! Solar Absorptance")</f>
        <v/>
      </c>
    </row>
    <row r="885" spans="1:2">
      <c r="A885" s="412" t="str">
        <f>IF(Data!$D82="",",","    "&amp;Data!$P82&amp;";")</f>
        <v>,</v>
      </c>
      <c r="B885" s="412" t="str">
        <f>IF(Data!$D82="",""," ! Visible Absorptance")</f>
        <v/>
      </c>
    </row>
    <row r="886" spans="1:2">
      <c r="A886" s="412"/>
      <c r="B886" s="412"/>
    </row>
    <row r="887" spans="1:2">
      <c r="A887" s="412" t="str">
        <f>IF(Data!$D83="","","Material,")</f>
        <v/>
      </c>
      <c r="B887" s="412" t="str">
        <f>IF(Data!$D83="",""," ! User material def'n from MATERIALS spreadsheet,")</f>
        <v/>
      </c>
    </row>
    <row r="888" spans="1:2">
      <c r="A888" s="412" t="str">
        <f>IF(Data!$D83="","","    Matl "&amp;Data!$C83&amp;" "&amp;Data!$D83&amp;",")</f>
        <v/>
      </c>
      <c r="B888" s="412" t="str">
        <f>IF(Data!$D83="",""," ! under # ser material def'n from MATERIALS spreadsheet,")</f>
        <v/>
      </c>
    </row>
    <row r="889" spans="1:2">
      <c r="A889" s="412" t="str">
        <f>IF(Data!$D83="",",","    "&amp;Data!$I83&amp;",")</f>
        <v>,</v>
      </c>
      <c r="B889" s="412" t="str">
        <f>IF(Data!$D83="",""," ! Roughness")</f>
        <v/>
      </c>
    </row>
    <row r="890" spans="1:2">
      <c r="A890" s="412" t="str">
        <f>IF(Data!$D83="",",","    "&amp;Data!$J83/1000&amp;",")</f>
        <v>,</v>
      </c>
      <c r="B890" s="412" t="str">
        <f>IF(Data!$D83="",""," ! Thickness (m)")</f>
        <v/>
      </c>
    </row>
    <row r="891" spans="1:2">
      <c r="A891" s="412" t="str">
        <f>IF(Data!$D83="",",","    "&amp;Data!$K83&amp;",")</f>
        <v>,</v>
      </c>
      <c r="B891" s="412" t="str">
        <f>IF(Data!$D83="",""," ! Conductivity (W/m-K)")</f>
        <v/>
      </c>
    </row>
    <row r="892" spans="1:2">
      <c r="A892" s="412" t="str">
        <f>IF(Data!$D83="",",","    "&amp;Data!$L83&amp;",")</f>
        <v>,</v>
      </c>
      <c r="B892" s="412" t="str">
        <f>IF(Data!$D83="",""," ! Density kg/m3")</f>
        <v/>
      </c>
    </row>
    <row r="893" spans="1:2">
      <c r="A893" s="412" t="str">
        <f>IF(Data!$D83="",",","    "&amp;Data!$M83&amp;",")</f>
        <v>,</v>
      </c>
      <c r="B893" s="412" t="str">
        <f>IF(Data!$D83="",""," ! Specific Heat (J/kg-K)")</f>
        <v/>
      </c>
    </row>
    <row r="894" spans="1:2">
      <c r="A894" s="412" t="str">
        <f>IF(Data!$D83="",",","    "&amp;Data!$N83&amp;",")</f>
        <v>,</v>
      </c>
      <c r="B894" s="412" t="str">
        <f>IF(Data!$D83="",""," ! Thermal Absorptance")</f>
        <v/>
      </c>
    </row>
    <row r="895" spans="1:2">
      <c r="A895" s="412" t="str">
        <f>IF(Data!$D83="",",","    "&amp;Data!$O83&amp;",")</f>
        <v>,</v>
      </c>
      <c r="B895" s="412" t="str">
        <f>IF(Data!$D83="",""," ! Solar Absorptance")</f>
        <v/>
      </c>
    </row>
    <row r="896" spans="1:2">
      <c r="A896" s="412" t="str">
        <f>IF(Data!$D83="",",","    "&amp;Data!$P83&amp;";")</f>
        <v>,</v>
      </c>
      <c r="B896" s="412" t="str">
        <f>IF(Data!$D83="",""," ! Visible Absorptance")</f>
        <v/>
      </c>
    </row>
    <row r="897" spans="1:2">
      <c r="A897" s="412"/>
      <c r="B897" s="412"/>
    </row>
    <row r="898" spans="1:2">
      <c r="A898" s="412" t="str">
        <f>IF(Data!$D84="","","Material,")</f>
        <v/>
      </c>
      <c r="B898" s="412" t="str">
        <f>IF(Data!$D84="",""," ! User material def'n from MATERIALS spreadsheet,")</f>
        <v/>
      </c>
    </row>
    <row r="899" spans="1:2">
      <c r="A899" s="412" t="str">
        <f>IF(Data!$D84="","","    Matl "&amp;Data!$C84&amp;" "&amp;Data!$D84&amp;",")</f>
        <v/>
      </c>
      <c r="B899" s="412" t="str">
        <f>IF(Data!$D84="",""," ! under # ser material def'n from MATERIALS spreadsheet,")</f>
        <v/>
      </c>
    </row>
    <row r="900" spans="1:2">
      <c r="A900" s="412" t="str">
        <f>IF(Data!$D84="",",","    "&amp;Data!$I84&amp;",")</f>
        <v>,</v>
      </c>
      <c r="B900" s="412" t="str">
        <f>IF(Data!$D84="",""," ! Roughness")</f>
        <v/>
      </c>
    </row>
    <row r="901" spans="1:2">
      <c r="A901" s="412" t="str">
        <f>IF(Data!$D84="",",","    "&amp;Data!$J84/1000&amp;",")</f>
        <v>,</v>
      </c>
      <c r="B901" s="412" t="str">
        <f>IF(Data!$D84="",""," ! Thickness (m)")</f>
        <v/>
      </c>
    </row>
    <row r="902" spans="1:2">
      <c r="A902" s="412" t="str">
        <f>IF(Data!$D84="",",","    "&amp;Data!$K84&amp;",")</f>
        <v>,</v>
      </c>
      <c r="B902" s="412" t="str">
        <f>IF(Data!$D84="",""," ! Conductivity (W/m-K)")</f>
        <v/>
      </c>
    </row>
    <row r="903" spans="1:2">
      <c r="A903" s="412" t="str">
        <f>IF(Data!$D84="",",","    "&amp;Data!$L84&amp;",")</f>
        <v>,</v>
      </c>
      <c r="B903" s="412" t="str">
        <f>IF(Data!$D84="",""," ! Density kg/m3")</f>
        <v/>
      </c>
    </row>
    <row r="904" spans="1:2">
      <c r="A904" s="412" t="str">
        <f>IF(Data!$D84="",",","    "&amp;Data!$M84&amp;",")</f>
        <v>,</v>
      </c>
      <c r="B904" s="412" t="str">
        <f>IF(Data!$D84="",""," ! Specific Heat (J/kg-K)")</f>
        <v/>
      </c>
    </row>
    <row r="905" spans="1:2">
      <c r="A905" s="412" t="str">
        <f>IF(Data!$D84="",",","    "&amp;Data!$N84&amp;",")</f>
        <v>,</v>
      </c>
      <c r="B905" s="412" t="str">
        <f>IF(Data!$D84="",""," ! Thermal Absorptance")</f>
        <v/>
      </c>
    </row>
    <row r="906" spans="1:2">
      <c r="A906" s="412" t="str">
        <f>IF(Data!$D84="",",","    "&amp;Data!$O84&amp;",")</f>
        <v>,</v>
      </c>
      <c r="B906" s="412" t="str">
        <f>IF(Data!$D84="",""," ! Solar Absorptance")</f>
        <v/>
      </c>
    </row>
    <row r="907" spans="1:2">
      <c r="A907" s="412" t="str">
        <f>IF(Data!$D84="",",","    "&amp;Data!$P84&amp;";")</f>
        <v>,</v>
      </c>
      <c r="B907" s="412" t="str">
        <f>IF(Data!$D84="",""," ! Visible Absorptance")</f>
        <v/>
      </c>
    </row>
    <row r="908" spans="1:2">
      <c r="A908" s="412"/>
      <c r="B908" s="412"/>
    </row>
    <row r="909" spans="1:2">
      <c r="A909" s="412" t="str">
        <f>IF(Data!$D85="","","Material,")</f>
        <v/>
      </c>
      <c r="B909" s="412" t="str">
        <f>IF(Data!$D85="",""," ! User material def'n from MATERIALS spreadsheet,")</f>
        <v/>
      </c>
    </row>
    <row r="910" spans="1:2">
      <c r="A910" s="412" t="str">
        <f>IF(Data!$D85="","","    Matl "&amp;Data!$C85&amp;" "&amp;Data!$D85&amp;",")</f>
        <v/>
      </c>
      <c r="B910" s="412" t="str">
        <f>IF(Data!$D85="",""," ! under # ser material def'n from MATERIALS spreadsheet,")</f>
        <v/>
      </c>
    </row>
    <row r="911" spans="1:2">
      <c r="A911" s="412" t="str">
        <f>IF(Data!$D85="",",","    "&amp;Data!$I85&amp;",")</f>
        <v>,</v>
      </c>
      <c r="B911" s="412" t="str">
        <f>IF(Data!$D85="",""," ! Roughness")</f>
        <v/>
      </c>
    </row>
    <row r="912" spans="1:2">
      <c r="A912" s="412" t="str">
        <f>IF(Data!$D85="",",","    "&amp;Data!$J85/1000&amp;",")</f>
        <v>,</v>
      </c>
      <c r="B912" s="412" t="str">
        <f>IF(Data!$D85="",""," ! Thickness (m)")</f>
        <v/>
      </c>
    </row>
    <row r="913" spans="1:2">
      <c r="A913" s="412" t="str">
        <f>IF(Data!$D85="",",","    "&amp;Data!$K85&amp;",")</f>
        <v>,</v>
      </c>
      <c r="B913" s="412" t="str">
        <f>IF(Data!$D85="",""," ! Conductivity (W/m-K)")</f>
        <v/>
      </c>
    </row>
    <row r="914" spans="1:2">
      <c r="A914" s="412" t="str">
        <f>IF(Data!$D85="",",","    "&amp;Data!$L85&amp;",")</f>
        <v>,</v>
      </c>
      <c r="B914" s="412" t="str">
        <f>IF(Data!$D85="",""," ! Density kg/m3")</f>
        <v/>
      </c>
    </row>
    <row r="915" spans="1:2">
      <c r="A915" s="412" t="str">
        <f>IF(Data!$D85="",",","    "&amp;Data!$M85&amp;",")</f>
        <v>,</v>
      </c>
      <c r="B915" s="412" t="str">
        <f>IF(Data!$D85="",""," ! Specific Heat (J/kg-K)")</f>
        <v/>
      </c>
    </row>
    <row r="916" spans="1:2">
      <c r="A916" s="412" t="str">
        <f>IF(Data!$D85="",",","    "&amp;Data!$N85&amp;",")</f>
        <v>,</v>
      </c>
      <c r="B916" s="412" t="str">
        <f>IF(Data!$D85="",""," ! Thermal Absorptance")</f>
        <v/>
      </c>
    </row>
    <row r="917" spans="1:2">
      <c r="A917" s="412" t="str">
        <f>IF(Data!$D85="",",","    "&amp;Data!$O85&amp;",")</f>
        <v>,</v>
      </c>
      <c r="B917" s="412" t="str">
        <f>IF(Data!$D85="",""," ! Solar Absorptance")</f>
        <v/>
      </c>
    </row>
    <row r="918" spans="1:2">
      <c r="A918" s="412" t="str">
        <f>IF(Data!$D85="",",","    "&amp;Data!$P85&amp;";")</f>
        <v>,</v>
      </c>
      <c r="B918" s="412" t="str">
        <f>IF(Data!$D85="",""," ! Visible Absorptance")</f>
        <v/>
      </c>
    </row>
    <row r="919" spans="1:2">
      <c r="A919" s="412"/>
      <c r="B919" s="412"/>
    </row>
    <row r="920" spans="1:2">
      <c r="A920" s="412" t="str">
        <f>IF(Data!$D86="","","Material,")</f>
        <v/>
      </c>
      <c r="B920" s="412" t="str">
        <f>IF(Data!$D86="",""," ! User material def'n from MATERIALS spreadsheet,")</f>
        <v/>
      </c>
    </row>
    <row r="921" spans="1:2">
      <c r="A921" s="412" t="str">
        <f>IF(Data!$D86="","","    Matl "&amp;Data!$C86&amp;" "&amp;Data!$D86&amp;",")</f>
        <v/>
      </c>
      <c r="B921" s="412" t="str">
        <f>IF(Data!$D86="",""," ! under # ser material def'n from MATERIALS spreadsheet,")</f>
        <v/>
      </c>
    </row>
    <row r="922" spans="1:2">
      <c r="A922" s="412" t="str">
        <f>IF(Data!$D86="",",","    "&amp;Data!$I86&amp;",")</f>
        <v>,</v>
      </c>
      <c r="B922" s="412" t="str">
        <f>IF(Data!$D86="",""," ! Roughness")</f>
        <v/>
      </c>
    </row>
    <row r="923" spans="1:2">
      <c r="A923" s="412" t="str">
        <f>IF(Data!$D86="",",","    "&amp;Data!$J86/1000&amp;",")</f>
        <v>,</v>
      </c>
      <c r="B923" s="412" t="str">
        <f>IF(Data!$D86="",""," ! Thickness (m)")</f>
        <v/>
      </c>
    </row>
    <row r="924" spans="1:2">
      <c r="A924" s="412" t="str">
        <f>IF(Data!$D86="",",","    "&amp;Data!$K86&amp;",")</f>
        <v>,</v>
      </c>
      <c r="B924" s="412" t="str">
        <f>IF(Data!$D86="",""," ! Conductivity (W/m-K)")</f>
        <v/>
      </c>
    </row>
    <row r="925" spans="1:2">
      <c r="A925" s="412" t="str">
        <f>IF(Data!$D86="",",","    "&amp;Data!$L86&amp;",")</f>
        <v>,</v>
      </c>
      <c r="B925" s="412" t="str">
        <f>IF(Data!$D86="",""," ! Density kg/m3")</f>
        <v/>
      </c>
    </row>
    <row r="926" spans="1:2">
      <c r="A926" s="412" t="str">
        <f>IF(Data!$D86="",",","    "&amp;Data!$M86&amp;",")</f>
        <v>,</v>
      </c>
      <c r="B926" s="412" t="str">
        <f>IF(Data!$D86="",""," ! Specific Heat (J/kg-K)")</f>
        <v/>
      </c>
    </row>
    <row r="927" spans="1:2">
      <c r="A927" s="412" t="str">
        <f>IF(Data!$D86="",",","    "&amp;Data!$N86&amp;",")</f>
        <v>,</v>
      </c>
      <c r="B927" s="412" t="str">
        <f>IF(Data!$D86="",""," ! Thermal Absorptance")</f>
        <v/>
      </c>
    </row>
    <row r="928" spans="1:2">
      <c r="A928" s="412" t="str">
        <f>IF(Data!$D86="",",","    "&amp;Data!$O86&amp;",")</f>
        <v>,</v>
      </c>
      <c r="B928" s="412" t="str">
        <f>IF(Data!$D86="",""," ! Solar Absorptance")</f>
        <v/>
      </c>
    </row>
    <row r="929" spans="1:2">
      <c r="A929" s="412" t="str">
        <f>IF(Data!$D86="",",","    "&amp;Data!$P86&amp;";")</f>
        <v>,</v>
      </c>
      <c r="B929" s="412" t="str">
        <f>IF(Data!$D86="",""," ! Visible Absorptance")</f>
        <v/>
      </c>
    </row>
    <row r="930" spans="1:2">
      <c r="A930" s="412"/>
      <c r="B930" s="412"/>
    </row>
    <row r="931" spans="1:2">
      <c r="A931" s="412" t="str">
        <f>IF(Data!$D87="","","Material,")</f>
        <v/>
      </c>
      <c r="B931" s="412" t="str">
        <f>IF(Data!$D87="",""," ! User material def'n from MATERIALS spreadsheet,")</f>
        <v/>
      </c>
    </row>
    <row r="932" spans="1:2">
      <c r="A932" s="412" t="str">
        <f>IF(Data!$D87="","","    Matl "&amp;Data!$C87&amp;" "&amp;Data!$D87&amp;",")</f>
        <v/>
      </c>
      <c r="B932" s="412" t="str">
        <f>IF(Data!$D87="",""," ! under # ser material def'n from MATERIALS spreadsheet,")</f>
        <v/>
      </c>
    </row>
    <row r="933" spans="1:2">
      <c r="A933" s="412" t="str">
        <f>IF(Data!$D87="",",","    "&amp;Data!$I87&amp;",")</f>
        <v>,</v>
      </c>
      <c r="B933" s="412" t="str">
        <f>IF(Data!$D87="",""," ! Roughness")</f>
        <v/>
      </c>
    </row>
    <row r="934" spans="1:2">
      <c r="A934" s="412" t="str">
        <f>IF(Data!$D87="",",","    "&amp;Data!$J87/1000&amp;",")</f>
        <v>,</v>
      </c>
      <c r="B934" s="412" t="str">
        <f>IF(Data!$D87="",""," ! Thickness (m)")</f>
        <v/>
      </c>
    </row>
    <row r="935" spans="1:2">
      <c r="A935" s="412" t="str">
        <f>IF(Data!$D87="",",","    "&amp;Data!$K87&amp;",")</f>
        <v>,</v>
      </c>
      <c r="B935" s="412" t="str">
        <f>IF(Data!$D87="",""," ! Conductivity (W/m-K)")</f>
        <v/>
      </c>
    </row>
    <row r="936" spans="1:2">
      <c r="A936" s="412" t="str">
        <f>IF(Data!$D87="",",","    "&amp;Data!$L87&amp;",")</f>
        <v>,</v>
      </c>
      <c r="B936" s="412" t="str">
        <f>IF(Data!$D87="",""," ! Density kg/m3")</f>
        <v/>
      </c>
    </row>
    <row r="937" spans="1:2">
      <c r="A937" s="412" t="str">
        <f>IF(Data!$D87="",",","    "&amp;Data!$M87&amp;",")</f>
        <v>,</v>
      </c>
      <c r="B937" s="412" t="str">
        <f>IF(Data!$D87="",""," ! Specific Heat (J/kg-K)")</f>
        <v/>
      </c>
    </row>
    <row r="938" spans="1:2">
      <c r="A938" s="412" t="str">
        <f>IF(Data!$D87="",",","    "&amp;Data!$N87&amp;",")</f>
        <v>,</v>
      </c>
      <c r="B938" s="412" t="str">
        <f>IF(Data!$D87="",""," ! Thermal Absorptance")</f>
        <v/>
      </c>
    </row>
    <row r="939" spans="1:2">
      <c r="A939" s="412" t="str">
        <f>IF(Data!$D87="",",","    "&amp;Data!$O87&amp;",")</f>
        <v>,</v>
      </c>
      <c r="B939" s="412" t="str">
        <f>IF(Data!$D87="",""," ! Solar Absorptance")</f>
        <v/>
      </c>
    </row>
    <row r="940" spans="1:2">
      <c r="A940" s="412" t="str">
        <f>IF(Data!$D87="",",","    "&amp;Data!$P87&amp;";")</f>
        <v>,</v>
      </c>
      <c r="B940" s="412" t="str">
        <f>IF(Data!$D87="",""," ! Visible Absorptance")</f>
        <v/>
      </c>
    </row>
    <row r="941" spans="1:2">
      <c r="A941" s="412"/>
      <c r="B941" s="412"/>
    </row>
    <row r="942" spans="1:2">
      <c r="A942" s="412" t="str">
        <f>IF(Data!$D88="","","Material,")</f>
        <v/>
      </c>
      <c r="B942" s="412" t="str">
        <f>IF(Data!$D88="",""," ! User material def'n from MATERIALS spreadsheet,")</f>
        <v/>
      </c>
    </row>
    <row r="943" spans="1:2">
      <c r="A943" s="412" t="str">
        <f>IF(Data!$D88="","","    Matl "&amp;Data!$C88&amp;" "&amp;Data!$D88&amp;",")</f>
        <v/>
      </c>
      <c r="B943" s="412" t="str">
        <f>IF(Data!$D88="",""," ! under # ser material def'n from MATERIALS spreadsheet,")</f>
        <v/>
      </c>
    </row>
    <row r="944" spans="1:2">
      <c r="A944" s="412" t="str">
        <f>IF(Data!$D88="",",","    "&amp;Data!$I88&amp;",")</f>
        <v>,</v>
      </c>
      <c r="B944" s="412" t="str">
        <f>IF(Data!$D88="",""," ! Roughness")</f>
        <v/>
      </c>
    </row>
    <row r="945" spans="1:2">
      <c r="A945" s="412" t="str">
        <f>IF(Data!$D88="",",","    "&amp;Data!$J88/1000&amp;",")</f>
        <v>,</v>
      </c>
      <c r="B945" s="412" t="str">
        <f>IF(Data!$D88="",""," ! Thickness (m)")</f>
        <v/>
      </c>
    </row>
    <row r="946" spans="1:2">
      <c r="A946" s="412" t="str">
        <f>IF(Data!$D88="",",","    "&amp;Data!$K88&amp;",")</f>
        <v>,</v>
      </c>
      <c r="B946" s="412" t="str">
        <f>IF(Data!$D88="",""," ! Conductivity (W/m-K)")</f>
        <v/>
      </c>
    </row>
    <row r="947" spans="1:2">
      <c r="A947" s="412" t="str">
        <f>IF(Data!$D88="",",","    "&amp;Data!$L88&amp;",")</f>
        <v>,</v>
      </c>
      <c r="B947" s="412" t="str">
        <f>IF(Data!$D88="",""," ! Density kg/m3")</f>
        <v/>
      </c>
    </row>
    <row r="948" spans="1:2">
      <c r="A948" s="412" t="str">
        <f>IF(Data!$D88="",",","    "&amp;Data!$M88&amp;",")</f>
        <v>,</v>
      </c>
      <c r="B948" s="412" t="str">
        <f>IF(Data!$D88="",""," ! Specific Heat (J/kg-K)")</f>
        <v/>
      </c>
    </row>
    <row r="949" spans="1:2">
      <c r="A949" s="412" t="str">
        <f>IF(Data!$D88="",",","    "&amp;Data!$N88&amp;",")</f>
        <v>,</v>
      </c>
      <c r="B949" s="412" t="str">
        <f>IF(Data!$D88="",""," ! Thermal Absorptance")</f>
        <v/>
      </c>
    </row>
    <row r="950" spans="1:2">
      <c r="A950" s="412" t="str">
        <f>IF(Data!$D88="",",","    "&amp;Data!$O88&amp;",")</f>
        <v>,</v>
      </c>
      <c r="B950" s="412" t="str">
        <f>IF(Data!$D88="",""," ! Solar Absorptance")</f>
        <v/>
      </c>
    </row>
    <row r="951" spans="1:2">
      <c r="A951" s="412" t="str">
        <f>IF(Data!$D88="",",","    "&amp;Data!$P88&amp;";")</f>
        <v>,</v>
      </c>
      <c r="B951" s="412" t="str">
        <f>IF(Data!$D88="",""," ! Visible Absorptance")</f>
        <v/>
      </c>
    </row>
    <row r="952" spans="1:2">
      <c r="A952" s="412"/>
      <c r="B952" s="412"/>
    </row>
    <row r="953" spans="1:2">
      <c r="A953" s="412" t="str">
        <f>IF(Data!$D89="","","Material,")</f>
        <v/>
      </c>
      <c r="B953" s="412" t="str">
        <f>IF(Data!$D89="",""," ! User material def'n from MATERIALS spreadsheet,")</f>
        <v/>
      </c>
    </row>
    <row r="954" spans="1:2">
      <c r="A954" s="412" t="str">
        <f>IF(Data!$D89="","","    Matl "&amp;Data!$C89&amp;" "&amp;Data!$D89&amp;",")</f>
        <v/>
      </c>
      <c r="B954" s="412" t="str">
        <f>IF(Data!$D89="",""," ! under # ser material def'n from MATERIALS spreadsheet,")</f>
        <v/>
      </c>
    </row>
    <row r="955" spans="1:2">
      <c r="A955" s="412" t="str">
        <f>IF(Data!$D89="",",","    "&amp;Data!$I89&amp;",")</f>
        <v>,</v>
      </c>
      <c r="B955" s="412" t="str">
        <f>IF(Data!$D89="",""," ! Roughness")</f>
        <v/>
      </c>
    </row>
    <row r="956" spans="1:2">
      <c r="A956" s="412" t="str">
        <f>IF(Data!$D89="",",","    "&amp;Data!$J89/1000&amp;",")</f>
        <v>,</v>
      </c>
      <c r="B956" s="412" t="str">
        <f>IF(Data!$D89="",""," ! Thickness (m)")</f>
        <v/>
      </c>
    </row>
    <row r="957" spans="1:2">
      <c r="A957" s="412" t="str">
        <f>IF(Data!$D89="",",","    "&amp;Data!$K89&amp;",")</f>
        <v>,</v>
      </c>
      <c r="B957" s="412" t="str">
        <f>IF(Data!$D89="",""," ! Conductivity (W/m-K)")</f>
        <v/>
      </c>
    </row>
    <row r="958" spans="1:2">
      <c r="A958" s="412" t="str">
        <f>IF(Data!$D89="",",","    "&amp;Data!$L89&amp;",")</f>
        <v>,</v>
      </c>
      <c r="B958" s="412" t="str">
        <f>IF(Data!$D89="",""," ! Density kg/m3")</f>
        <v/>
      </c>
    </row>
    <row r="959" spans="1:2">
      <c r="A959" s="412" t="str">
        <f>IF(Data!$D89="",",","    "&amp;Data!$M89&amp;",")</f>
        <v>,</v>
      </c>
      <c r="B959" s="412" t="str">
        <f>IF(Data!$D89="",""," ! Specific Heat (J/kg-K)")</f>
        <v/>
      </c>
    </row>
    <row r="960" spans="1:2">
      <c r="A960" s="412" t="str">
        <f>IF(Data!$D89="",",","    "&amp;Data!$N89&amp;",")</f>
        <v>,</v>
      </c>
      <c r="B960" s="412" t="str">
        <f>IF(Data!$D89="",""," ! Thermal Absorptance")</f>
        <v/>
      </c>
    </row>
    <row r="961" spans="1:2">
      <c r="A961" s="412" t="str">
        <f>IF(Data!$D89="",",","    "&amp;Data!$O89&amp;",")</f>
        <v>,</v>
      </c>
      <c r="B961" s="412" t="str">
        <f>IF(Data!$D89="",""," ! Solar Absorptance")</f>
        <v/>
      </c>
    </row>
    <row r="962" spans="1:2">
      <c r="A962" s="412" t="str">
        <f>IF(Data!$D89="",",","    "&amp;Data!$P89&amp;";")</f>
        <v>,</v>
      </c>
      <c r="B962" s="412" t="str">
        <f>IF(Data!$D89="",""," ! Visible Absorptance")</f>
        <v/>
      </c>
    </row>
    <row r="963" spans="1:2">
      <c r="A963" s="412"/>
      <c r="B963" s="412"/>
    </row>
    <row r="964" spans="1:2">
      <c r="A964" s="412" t="str">
        <f>IF(Data!$D90="","","Material,")</f>
        <v/>
      </c>
      <c r="B964" s="412" t="str">
        <f>IF(Data!$D90="",""," ! User material def'n from MATERIALS spreadsheet,")</f>
        <v/>
      </c>
    </row>
    <row r="965" spans="1:2">
      <c r="A965" s="412" t="str">
        <f>IF(Data!$D90="","","    Matl "&amp;Data!$C90&amp;" "&amp;Data!$D90&amp;",")</f>
        <v/>
      </c>
      <c r="B965" s="412" t="str">
        <f>IF(Data!$D90="",""," ! under # ser material def'n from MATERIALS spreadsheet,")</f>
        <v/>
      </c>
    </row>
    <row r="966" spans="1:2">
      <c r="A966" s="412" t="str">
        <f>IF(Data!$D90="",",","    "&amp;Data!$I90&amp;",")</f>
        <v>,</v>
      </c>
      <c r="B966" s="412" t="str">
        <f>IF(Data!$D90="",""," ! Roughness")</f>
        <v/>
      </c>
    </row>
    <row r="967" spans="1:2">
      <c r="A967" s="412" t="str">
        <f>IF(Data!$D90="",",","    "&amp;Data!$J90/1000&amp;",")</f>
        <v>,</v>
      </c>
      <c r="B967" s="412" t="str">
        <f>IF(Data!$D90="",""," ! Thickness (m)")</f>
        <v/>
      </c>
    </row>
    <row r="968" spans="1:2">
      <c r="A968" s="412" t="str">
        <f>IF(Data!$D90="",",","    "&amp;Data!$K90&amp;",")</f>
        <v>,</v>
      </c>
      <c r="B968" s="412" t="str">
        <f>IF(Data!$D90="",""," ! Conductivity (W/m-K)")</f>
        <v/>
      </c>
    </row>
    <row r="969" spans="1:2">
      <c r="A969" s="412" t="str">
        <f>IF(Data!$D90="",",","    "&amp;Data!$L90&amp;",")</f>
        <v>,</v>
      </c>
      <c r="B969" s="412" t="str">
        <f>IF(Data!$D90="",""," ! Density kg/m3")</f>
        <v/>
      </c>
    </row>
    <row r="970" spans="1:2">
      <c r="A970" s="412" t="str">
        <f>IF(Data!$D90="",",","    "&amp;Data!$M90&amp;",")</f>
        <v>,</v>
      </c>
      <c r="B970" s="412" t="str">
        <f>IF(Data!$D90="",""," ! Specific Heat (J/kg-K)")</f>
        <v/>
      </c>
    </row>
    <row r="971" spans="1:2">
      <c r="A971" s="412" t="str">
        <f>IF(Data!$D90="",",","    "&amp;Data!$N90&amp;",")</f>
        <v>,</v>
      </c>
      <c r="B971" s="412" t="str">
        <f>IF(Data!$D90="",""," ! Thermal Absorptance")</f>
        <v/>
      </c>
    </row>
    <row r="972" spans="1:2">
      <c r="A972" s="412" t="str">
        <f>IF(Data!$D90="",",","    "&amp;Data!$O90&amp;",")</f>
        <v>,</v>
      </c>
      <c r="B972" s="412" t="str">
        <f>IF(Data!$D90="",""," ! Solar Absorptance")</f>
        <v/>
      </c>
    </row>
    <row r="973" spans="1:2">
      <c r="A973" s="412" t="str">
        <f>IF(Data!$D90="",",","    "&amp;Data!$P90&amp;";")</f>
        <v>,</v>
      </c>
      <c r="B973" s="412" t="str">
        <f>IF(Data!$D90="",""," ! Visible Absorptance")</f>
        <v/>
      </c>
    </row>
    <row r="974" spans="1:2">
      <c r="A974" s="412"/>
      <c r="B974" s="412"/>
    </row>
    <row r="975" spans="1:2">
      <c r="A975" s="412" t="str">
        <f>IF(Data!$D91="","","Material,")</f>
        <v/>
      </c>
      <c r="B975" s="412" t="str">
        <f>IF(Data!$D91="",""," ! User material def'n from MATERIALS spreadsheet,")</f>
        <v/>
      </c>
    </row>
    <row r="976" spans="1:2">
      <c r="A976" s="412" t="str">
        <f>IF(Data!$D91="","","    Matl "&amp;Data!$C91&amp;" "&amp;Data!$D91&amp;",")</f>
        <v/>
      </c>
      <c r="B976" s="412" t="str">
        <f>IF(Data!$D91="",""," ! under # ser material def'n from MATERIALS spreadsheet,")</f>
        <v/>
      </c>
    </row>
    <row r="977" spans="1:2">
      <c r="A977" s="412" t="str">
        <f>IF(Data!$D91="",",","    "&amp;Data!$I91&amp;",")</f>
        <v>,</v>
      </c>
      <c r="B977" s="412" t="str">
        <f>IF(Data!$D91="",""," ! Roughness")</f>
        <v/>
      </c>
    </row>
    <row r="978" spans="1:2">
      <c r="A978" s="412" t="str">
        <f>IF(Data!$D91="",",","    "&amp;Data!$J91/1000&amp;",")</f>
        <v>,</v>
      </c>
      <c r="B978" s="412" t="str">
        <f>IF(Data!$D91="",""," ! Thickness (m)")</f>
        <v/>
      </c>
    </row>
    <row r="979" spans="1:2">
      <c r="A979" s="412" t="str">
        <f>IF(Data!$D91="",",","    "&amp;Data!$K91&amp;",")</f>
        <v>,</v>
      </c>
      <c r="B979" s="412" t="str">
        <f>IF(Data!$D91="",""," ! Conductivity (W/m-K)")</f>
        <v/>
      </c>
    </row>
    <row r="980" spans="1:2">
      <c r="A980" s="412" t="str">
        <f>IF(Data!$D91="",",","    "&amp;Data!$L91&amp;",")</f>
        <v>,</v>
      </c>
      <c r="B980" s="412" t="str">
        <f>IF(Data!$D91="",""," ! Density kg/m3")</f>
        <v/>
      </c>
    </row>
    <row r="981" spans="1:2">
      <c r="A981" s="412" t="str">
        <f>IF(Data!$D91="",",","    "&amp;Data!$M91&amp;",")</f>
        <v>,</v>
      </c>
      <c r="B981" s="412" t="str">
        <f>IF(Data!$D91="",""," ! Specific Heat (J/kg-K)")</f>
        <v/>
      </c>
    </row>
    <row r="982" spans="1:2">
      <c r="A982" s="412" t="str">
        <f>IF(Data!$D91="",",","    "&amp;Data!$N91&amp;",")</f>
        <v>,</v>
      </c>
      <c r="B982" s="412" t="str">
        <f>IF(Data!$D91="",""," ! Thermal Absorptance")</f>
        <v/>
      </c>
    </row>
    <row r="983" spans="1:2">
      <c r="A983" s="412" t="str">
        <f>IF(Data!$D91="",",","    "&amp;Data!$O91&amp;",")</f>
        <v>,</v>
      </c>
      <c r="B983" s="412" t="str">
        <f>IF(Data!$D91="",""," ! Solar Absorptance")</f>
        <v/>
      </c>
    </row>
    <row r="984" spans="1:2">
      <c r="A984" s="412" t="str">
        <f>IF(Data!$D91="",",","    "&amp;Data!$P91&amp;";")</f>
        <v>,</v>
      </c>
      <c r="B984" s="412" t="str">
        <f>IF(Data!$D91="",""," ! Visible Absorptance")</f>
        <v/>
      </c>
    </row>
    <row r="985" spans="1:2">
      <c r="A985" s="412"/>
      <c r="B985" s="412"/>
    </row>
    <row r="986" spans="1:2">
      <c r="A986" s="412" t="str">
        <f>IF(Data!$D92="","","Material,")</f>
        <v/>
      </c>
      <c r="B986" s="412" t="str">
        <f>IF(Data!$D92="",""," ! User material def'n from MATERIALS spreadsheet,")</f>
        <v/>
      </c>
    </row>
    <row r="987" spans="1:2">
      <c r="A987" s="412" t="str">
        <f>IF(Data!$D92="","","    Matl "&amp;Data!$C92&amp;" "&amp;Data!$D92&amp;",")</f>
        <v/>
      </c>
      <c r="B987" s="412" t="str">
        <f>IF(Data!$D92="",""," ! under # ser material def'n from MATERIALS spreadsheet,")</f>
        <v/>
      </c>
    </row>
    <row r="988" spans="1:2">
      <c r="A988" s="412" t="str">
        <f>IF(Data!$D92="",",","    "&amp;Data!$I92&amp;",")</f>
        <v>,</v>
      </c>
      <c r="B988" s="412" t="str">
        <f>IF(Data!$D92="",""," ! Roughness")</f>
        <v/>
      </c>
    </row>
    <row r="989" spans="1:2">
      <c r="A989" s="412" t="str">
        <f>IF(Data!$D92="",",","    "&amp;Data!$J92/1000&amp;",")</f>
        <v>,</v>
      </c>
      <c r="B989" s="412" t="str">
        <f>IF(Data!$D92="",""," ! Thickness (m)")</f>
        <v/>
      </c>
    </row>
    <row r="990" spans="1:2">
      <c r="A990" s="412" t="str">
        <f>IF(Data!$D92="",",","    "&amp;Data!$K92&amp;",")</f>
        <v>,</v>
      </c>
      <c r="B990" s="412" t="str">
        <f>IF(Data!$D92="",""," ! Conductivity (W/m-K)")</f>
        <v/>
      </c>
    </row>
    <row r="991" spans="1:2">
      <c r="A991" s="412" t="str">
        <f>IF(Data!$D92="",",","    "&amp;Data!$L92&amp;",")</f>
        <v>,</v>
      </c>
      <c r="B991" s="412" t="str">
        <f>IF(Data!$D92="",""," ! Density kg/m3")</f>
        <v/>
      </c>
    </row>
    <row r="992" spans="1:2">
      <c r="A992" s="412" t="str">
        <f>IF(Data!$D92="",",","    "&amp;Data!$M92&amp;",")</f>
        <v>,</v>
      </c>
      <c r="B992" s="412" t="str">
        <f>IF(Data!$D92="",""," ! Specific Heat (J/kg-K)")</f>
        <v/>
      </c>
    </row>
    <row r="993" spans="1:2">
      <c r="A993" s="412" t="str">
        <f>IF(Data!$D92="",",","    "&amp;Data!$N92&amp;",")</f>
        <v>,</v>
      </c>
      <c r="B993" s="412" t="str">
        <f>IF(Data!$D92="",""," ! Thermal Absorptance")</f>
        <v/>
      </c>
    </row>
    <row r="994" spans="1:2">
      <c r="A994" s="412" t="str">
        <f>IF(Data!$D92="",",","    "&amp;Data!$O92&amp;",")</f>
        <v>,</v>
      </c>
      <c r="B994" s="412" t="str">
        <f>IF(Data!$D92="",""," ! Solar Absorptance")</f>
        <v/>
      </c>
    </row>
    <row r="995" spans="1:2">
      <c r="A995" s="412" t="str">
        <f>IF(Data!$D92="",",","    "&amp;Data!$P92&amp;";")</f>
        <v>,</v>
      </c>
      <c r="B995" s="412" t="str">
        <f>IF(Data!$D92="",""," ! Visible Absorptance")</f>
        <v/>
      </c>
    </row>
    <row r="996" spans="1:2">
      <c r="A996" s="412"/>
      <c r="B996" s="412"/>
    </row>
    <row r="997" spans="1:2">
      <c r="A997" s="412" t="str">
        <f>IF(Data!$D93="","","Material,")</f>
        <v/>
      </c>
      <c r="B997" s="412" t="str">
        <f>IF(Data!$D93="",""," ! User material def'n from MATERIALS spreadsheet,")</f>
        <v/>
      </c>
    </row>
    <row r="998" spans="1:2">
      <c r="A998" s="412" t="str">
        <f>IF(Data!$D93="","","    Matl "&amp;Data!$C93&amp;" "&amp;Data!$D93&amp;",")</f>
        <v/>
      </c>
      <c r="B998" s="412" t="str">
        <f>IF(Data!$D93="",""," ! under # ser material def'n from MATERIALS spreadsheet,")</f>
        <v/>
      </c>
    </row>
    <row r="999" spans="1:2">
      <c r="A999" s="412" t="str">
        <f>IF(Data!$D93="",",","    "&amp;Data!$I93&amp;",")</f>
        <v>,</v>
      </c>
      <c r="B999" s="412" t="str">
        <f>IF(Data!$D93="",""," ! Roughness")</f>
        <v/>
      </c>
    </row>
    <row r="1000" spans="1:2">
      <c r="A1000" s="412" t="str">
        <f>IF(Data!$D93="",",","    "&amp;Data!$J93/1000&amp;",")</f>
        <v>,</v>
      </c>
      <c r="B1000" s="412" t="str">
        <f>IF(Data!$D93="",""," ! Thickness (m)")</f>
        <v/>
      </c>
    </row>
    <row r="1001" spans="1:2">
      <c r="A1001" s="412" t="str">
        <f>IF(Data!$D93="",",","    "&amp;Data!$K93&amp;",")</f>
        <v>,</v>
      </c>
      <c r="B1001" s="412" t="str">
        <f>IF(Data!$D93="",""," ! Conductivity (W/m-K)")</f>
        <v/>
      </c>
    </row>
    <row r="1002" spans="1:2">
      <c r="A1002" s="412" t="str">
        <f>IF(Data!$D93="",",","    "&amp;Data!$L93&amp;",")</f>
        <v>,</v>
      </c>
      <c r="B1002" s="412" t="str">
        <f>IF(Data!$D93="",""," ! Density kg/m3")</f>
        <v/>
      </c>
    </row>
    <row r="1003" spans="1:2">
      <c r="A1003" s="412" t="str">
        <f>IF(Data!$D93="",",","    "&amp;Data!$M93&amp;",")</f>
        <v>,</v>
      </c>
      <c r="B1003" s="412" t="str">
        <f>IF(Data!$D93="",""," ! Specific Heat (J/kg-K)")</f>
        <v/>
      </c>
    </row>
    <row r="1004" spans="1:2">
      <c r="A1004" s="412" t="str">
        <f>IF(Data!$D93="",",","    "&amp;Data!$N93&amp;",")</f>
        <v>,</v>
      </c>
      <c r="B1004" s="412" t="str">
        <f>IF(Data!$D93="",""," ! Thermal Absorptance")</f>
        <v/>
      </c>
    </row>
    <row r="1005" spans="1:2">
      <c r="A1005" s="412" t="str">
        <f>IF(Data!$D93="",",","    "&amp;Data!$O93&amp;",")</f>
        <v>,</v>
      </c>
      <c r="B1005" s="412" t="str">
        <f>IF(Data!$D93="",""," ! Solar Absorptance")</f>
        <v/>
      </c>
    </row>
    <row r="1006" spans="1:2">
      <c r="A1006" s="412" t="str">
        <f>IF(Data!$D93="",",","    "&amp;Data!$P93&amp;";")</f>
        <v>,</v>
      </c>
      <c r="B1006" s="412" t="str">
        <f>IF(Data!$D93="",""," ! Visible Absorptance")</f>
        <v/>
      </c>
    </row>
    <row r="1007" spans="1:2">
      <c r="A1007" s="412"/>
      <c r="B1007" s="412"/>
    </row>
    <row r="1008" spans="1:2">
      <c r="A1008" s="412" t="str">
        <f>IF(Data!$D94="","","Material,")</f>
        <v/>
      </c>
      <c r="B1008" s="412" t="str">
        <f>IF(Data!$D94="",""," ! User material def'n from MATERIALS spreadsheet,")</f>
        <v/>
      </c>
    </row>
    <row r="1009" spans="1:2">
      <c r="A1009" s="412" t="str">
        <f>IF(Data!$D94="","","    Matl "&amp;Data!$C94&amp;" "&amp;Data!$D94&amp;",")</f>
        <v/>
      </c>
      <c r="B1009" s="412" t="str">
        <f>IF(Data!$D94="",""," ! under # ser material def'n from MATERIALS spreadsheet,")</f>
        <v/>
      </c>
    </row>
    <row r="1010" spans="1:2">
      <c r="A1010" s="412" t="str">
        <f>IF(Data!$D94="",",","    "&amp;Data!$I94&amp;",")</f>
        <v>,</v>
      </c>
      <c r="B1010" s="412" t="str">
        <f>IF(Data!$D94="",""," ! Roughness")</f>
        <v/>
      </c>
    </row>
    <row r="1011" spans="1:2">
      <c r="A1011" s="412" t="str">
        <f>IF(Data!$D94="",",","    "&amp;Data!$J94/1000&amp;",")</f>
        <v>,</v>
      </c>
      <c r="B1011" s="412" t="str">
        <f>IF(Data!$D94="",""," ! Thickness (m)")</f>
        <v/>
      </c>
    </row>
    <row r="1012" spans="1:2">
      <c r="A1012" s="412" t="str">
        <f>IF(Data!$D94="",",","    "&amp;Data!$K94&amp;",")</f>
        <v>,</v>
      </c>
      <c r="B1012" s="412" t="str">
        <f>IF(Data!$D94="",""," ! Conductivity (W/m-K)")</f>
        <v/>
      </c>
    </row>
    <row r="1013" spans="1:2">
      <c r="A1013" s="412" t="str">
        <f>IF(Data!$D94="",",","    "&amp;Data!$L94&amp;",")</f>
        <v>,</v>
      </c>
      <c r="B1013" s="412" t="str">
        <f>IF(Data!$D94="",""," ! Density kg/m3")</f>
        <v/>
      </c>
    </row>
    <row r="1014" spans="1:2">
      <c r="A1014" s="412" t="str">
        <f>IF(Data!$D94="",",","    "&amp;Data!$M94&amp;",")</f>
        <v>,</v>
      </c>
      <c r="B1014" s="412" t="str">
        <f>IF(Data!$D94="",""," ! Specific Heat (J/kg-K)")</f>
        <v/>
      </c>
    </row>
    <row r="1015" spans="1:2">
      <c r="A1015" s="412" t="str">
        <f>IF(Data!$D94="",",","    "&amp;Data!$N94&amp;",")</f>
        <v>,</v>
      </c>
      <c r="B1015" s="412" t="str">
        <f>IF(Data!$D94="",""," ! Thermal Absorptance")</f>
        <v/>
      </c>
    </row>
    <row r="1016" spans="1:2">
      <c r="A1016" s="412" t="str">
        <f>IF(Data!$D94="",",","    "&amp;Data!$O94&amp;",")</f>
        <v>,</v>
      </c>
      <c r="B1016" s="412" t="str">
        <f>IF(Data!$D94="",""," ! Solar Absorptance")</f>
        <v/>
      </c>
    </row>
    <row r="1017" spans="1:2">
      <c r="A1017" s="412" t="str">
        <f>IF(Data!$D94="",",","    "&amp;Data!$P94&amp;";")</f>
        <v>,</v>
      </c>
      <c r="B1017" s="412" t="str">
        <f>IF(Data!$D94="",""," ! Visible Absorptance")</f>
        <v/>
      </c>
    </row>
    <row r="1018" spans="1:2">
      <c r="A1018" s="412"/>
      <c r="B1018" s="412"/>
    </row>
    <row r="1019" spans="1:2">
      <c r="A1019" s="412" t="str">
        <f>IF(Data!$D95="","","Material,")</f>
        <v/>
      </c>
      <c r="B1019" s="412" t="str">
        <f>IF(Data!$D95="",""," ! User material def'n from MATERIALS spreadsheet,")</f>
        <v/>
      </c>
    </row>
    <row r="1020" spans="1:2">
      <c r="A1020" s="412" t="str">
        <f>IF(Data!$D95="","","    Matl "&amp;Data!$C95&amp;" "&amp;Data!$D95&amp;",")</f>
        <v/>
      </c>
      <c r="B1020" s="412" t="str">
        <f>IF(Data!$D95="",""," ! under # ser material def'n from MATERIALS spreadsheet,")</f>
        <v/>
      </c>
    </row>
    <row r="1021" spans="1:2">
      <c r="A1021" s="412" t="str">
        <f>IF(Data!$D95="",",","    "&amp;Data!$I95&amp;",")</f>
        <v>,</v>
      </c>
      <c r="B1021" s="412" t="str">
        <f>IF(Data!$D95="",""," ! Roughness")</f>
        <v/>
      </c>
    </row>
    <row r="1022" spans="1:2">
      <c r="A1022" s="412" t="str">
        <f>IF(Data!$D95="",",","    "&amp;Data!$J95/1000&amp;",")</f>
        <v>,</v>
      </c>
      <c r="B1022" s="412" t="str">
        <f>IF(Data!$D95="",""," ! Thickness (m)")</f>
        <v/>
      </c>
    </row>
    <row r="1023" spans="1:2">
      <c r="A1023" s="412" t="str">
        <f>IF(Data!$D95="",",","    "&amp;Data!$K95&amp;",")</f>
        <v>,</v>
      </c>
      <c r="B1023" s="412" t="str">
        <f>IF(Data!$D95="",""," ! Conductivity (W/m-K)")</f>
        <v/>
      </c>
    </row>
    <row r="1024" spans="1:2">
      <c r="A1024" s="412" t="str">
        <f>IF(Data!$D95="",",","    "&amp;Data!$L95&amp;",")</f>
        <v>,</v>
      </c>
      <c r="B1024" s="412" t="str">
        <f>IF(Data!$D95="",""," ! Density kg/m3")</f>
        <v/>
      </c>
    </row>
    <row r="1025" spans="1:2">
      <c r="A1025" s="412" t="str">
        <f>IF(Data!$D95="",",","    "&amp;Data!$M95&amp;",")</f>
        <v>,</v>
      </c>
      <c r="B1025" s="412" t="str">
        <f>IF(Data!$D95="",""," ! Specific Heat (J/kg-K)")</f>
        <v/>
      </c>
    </row>
    <row r="1026" spans="1:2">
      <c r="A1026" s="412" t="str">
        <f>IF(Data!$D95="",",","    "&amp;Data!$N95&amp;",")</f>
        <v>,</v>
      </c>
      <c r="B1026" s="412" t="str">
        <f>IF(Data!$D95="",""," ! Thermal Absorptance")</f>
        <v/>
      </c>
    </row>
    <row r="1027" spans="1:2">
      <c r="A1027" s="412" t="str">
        <f>IF(Data!$D95="",",","    "&amp;Data!$O95&amp;",")</f>
        <v>,</v>
      </c>
      <c r="B1027" s="412" t="str">
        <f>IF(Data!$D95="",""," ! Solar Absorptance")</f>
        <v/>
      </c>
    </row>
    <row r="1028" spans="1:2">
      <c r="A1028" s="412" t="str">
        <f>IF(Data!$D95="",",","    "&amp;Data!$P95&amp;";")</f>
        <v>,</v>
      </c>
      <c r="B1028" s="412" t="str">
        <f>IF(Data!$D95="",""," ! Visible Absorptance")</f>
        <v/>
      </c>
    </row>
    <row r="1029" spans="1:2">
      <c r="A1029" s="412"/>
      <c r="B1029" s="412"/>
    </row>
    <row r="1030" spans="1:2">
      <c r="A1030" s="412" t="str">
        <f>IF(Data!$D96="","","Material,")</f>
        <v/>
      </c>
      <c r="B1030" s="412" t="str">
        <f>IF(Data!$D96="",""," ! User material def'n from MATERIALS spreadsheet,")</f>
        <v/>
      </c>
    </row>
    <row r="1031" spans="1:2">
      <c r="A1031" s="412" t="str">
        <f>IF(Data!$D96="","","    Matl "&amp;Data!$C96&amp;" "&amp;Data!$D96&amp;",")</f>
        <v/>
      </c>
      <c r="B1031" s="412" t="str">
        <f>IF(Data!$D96="",""," ! under # ser material def'n from MATERIALS spreadsheet,")</f>
        <v/>
      </c>
    </row>
    <row r="1032" spans="1:2">
      <c r="A1032" s="412" t="str">
        <f>IF(Data!$D96="",",","    "&amp;Data!$I96&amp;",")</f>
        <v>,</v>
      </c>
      <c r="B1032" s="412" t="str">
        <f>IF(Data!$D96="",""," ! Roughness")</f>
        <v/>
      </c>
    </row>
    <row r="1033" spans="1:2">
      <c r="A1033" s="412" t="str">
        <f>IF(Data!$D96="",",","    "&amp;Data!$J96/1000&amp;",")</f>
        <v>,</v>
      </c>
      <c r="B1033" s="412" t="str">
        <f>IF(Data!$D96="",""," ! Thickness (m)")</f>
        <v/>
      </c>
    </row>
    <row r="1034" spans="1:2">
      <c r="A1034" s="412" t="str">
        <f>IF(Data!$D96="",",","    "&amp;Data!$K96&amp;",")</f>
        <v>,</v>
      </c>
      <c r="B1034" s="412" t="str">
        <f>IF(Data!$D96="",""," ! Conductivity (W/m-K)")</f>
        <v/>
      </c>
    </row>
    <row r="1035" spans="1:2">
      <c r="A1035" s="412" t="str">
        <f>IF(Data!$D96="",",","    "&amp;Data!$L96&amp;",")</f>
        <v>,</v>
      </c>
      <c r="B1035" s="412" t="str">
        <f>IF(Data!$D96="",""," ! Density kg/m3")</f>
        <v/>
      </c>
    </row>
    <row r="1036" spans="1:2">
      <c r="A1036" s="412" t="str">
        <f>IF(Data!$D96="",",","    "&amp;Data!$M96&amp;",")</f>
        <v>,</v>
      </c>
      <c r="B1036" s="412" t="str">
        <f>IF(Data!$D96="",""," ! Specific Heat (J/kg-K)")</f>
        <v/>
      </c>
    </row>
    <row r="1037" spans="1:2">
      <c r="A1037" s="412" t="str">
        <f>IF(Data!$D96="",",","    "&amp;Data!$N96&amp;",")</f>
        <v>,</v>
      </c>
      <c r="B1037" s="412" t="str">
        <f>IF(Data!$D96="",""," ! Thermal Absorptance")</f>
        <v/>
      </c>
    </row>
    <row r="1038" spans="1:2">
      <c r="A1038" s="412" t="str">
        <f>IF(Data!$D96="",",","    "&amp;Data!$O96&amp;",")</f>
        <v>,</v>
      </c>
      <c r="B1038" s="412" t="str">
        <f>IF(Data!$D96="",""," ! Solar Absorptance")</f>
        <v/>
      </c>
    </row>
    <row r="1039" spans="1:2">
      <c r="A1039" s="412" t="str">
        <f>IF(Data!$D96="",",","    "&amp;Data!$P96&amp;";")</f>
        <v>,</v>
      </c>
      <c r="B1039" s="412" t="str">
        <f>IF(Data!$D96="",""," ! Visible Absorptance")</f>
        <v/>
      </c>
    </row>
    <row r="1040" spans="1:2">
      <c r="A1040" s="412"/>
      <c r="B1040" s="412"/>
    </row>
    <row r="1041" spans="1:2">
      <c r="A1041" s="412" t="str">
        <f>IF(Data!$D97="","","Material,")</f>
        <v/>
      </c>
      <c r="B1041" s="412" t="str">
        <f>IF(Data!$D97="",""," ! User material def'n from MATERIALS spreadsheet,")</f>
        <v/>
      </c>
    </row>
    <row r="1042" spans="1:2">
      <c r="A1042" s="412" t="str">
        <f>IF(Data!$D97="","","    Matl "&amp;Data!$C97&amp;" "&amp;Data!$D97&amp;",")</f>
        <v/>
      </c>
      <c r="B1042" s="412" t="str">
        <f>IF(Data!$D97="",""," ! under # ser material def'n from MATERIALS spreadsheet,")</f>
        <v/>
      </c>
    </row>
    <row r="1043" spans="1:2">
      <c r="A1043" s="412" t="str">
        <f>IF(Data!$D97="",",","    "&amp;Data!$I97&amp;",")</f>
        <v>,</v>
      </c>
      <c r="B1043" s="412" t="str">
        <f>IF(Data!$D97="",""," ! Roughness")</f>
        <v/>
      </c>
    </row>
    <row r="1044" spans="1:2">
      <c r="A1044" s="412" t="str">
        <f>IF(Data!$D97="",",","    "&amp;Data!$J97/1000&amp;",")</f>
        <v>,</v>
      </c>
      <c r="B1044" s="412" t="str">
        <f>IF(Data!$D97="",""," ! Thickness (m)")</f>
        <v/>
      </c>
    </row>
    <row r="1045" spans="1:2">
      <c r="A1045" s="412" t="str">
        <f>IF(Data!$D97="",",","    "&amp;Data!$K97&amp;",")</f>
        <v>,</v>
      </c>
      <c r="B1045" s="412" t="str">
        <f>IF(Data!$D97="",""," ! Conductivity (W/m-K)")</f>
        <v/>
      </c>
    </row>
    <row r="1046" spans="1:2">
      <c r="A1046" s="412" t="str">
        <f>IF(Data!$D97="",",","    "&amp;Data!$L97&amp;",")</f>
        <v>,</v>
      </c>
      <c r="B1046" s="412" t="str">
        <f>IF(Data!$D97="",""," ! Density kg/m3")</f>
        <v/>
      </c>
    </row>
    <row r="1047" spans="1:2">
      <c r="A1047" s="412" t="str">
        <f>IF(Data!$D97="",",","    "&amp;Data!$M97&amp;",")</f>
        <v>,</v>
      </c>
      <c r="B1047" s="412" t="str">
        <f>IF(Data!$D97="",""," ! Specific Heat (J/kg-K)")</f>
        <v/>
      </c>
    </row>
    <row r="1048" spans="1:2">
      <c r="A1048" s="412" t="str">
        <f>IF(Data!$D97="",",","    "&amp;Data!$N97&amp;",")</f>
        <v>,</v>
      </c>
      <c r="B1048" s="412" t="str">
        <f>IF(Data!$D97="",""," ! Thermal Absorptance")</f>
        <v/>
      </c>
    </row>
    <row r="1049" spans="1:2">
      <c r="A1049" s="412" t="str">
        <f>IF(Data!$D97="",",","    "&amp;Data!$O97&amp;",")</f>
        <v>,</v>
      </c>
      <c r="B1049" s="412" t="str">
        <f>IF(Data!$D97="",""," ! Solar Absorptance")</f>
        <v/>
      </c>
    </row>
    <row r="1050" spans="1:2">
      <c r="A1050" s="412" t="str">
        <f>IF(Data!$D97="",",","    "&amp;Data!$P97&amp;";")</f>
        <v>,</v>
      </c>
      <c r="B1050" s="412" t="str">
        <f>IF(Data!$D97="",""," ! Visible Absorptance")</f>
        <v/>
      </c>
    </row>
    <row r="1051" spans="1:2">
      <c r="A1051" s="412"/>
      <c r="B1051" s="412"/>
    </row>
    <row r="1052" spans="1:2">
      <c r="A1052" s="412" t="str">
        <f>IF(Data!$D98="","","Material,")</f>
        <v/>
      </c>
      <c r="B1052" s="412" t="str">
        <f>IF(Data!$D98="",""," ! User material def'n from MATERIALS spreadsheet,")</f>
        <v/>
      </c>
    </row>
    <row r="1053" spans="1:2">
      <c r="A1053" s="412" t="str">
        <f>IF(Data!$D98="","","    Matl "&amp;Data!$C98&amp;" "&amp;Data!$D98&amp;",")</f>
        <v/>
      </c>
      <c r="B1053" s="412" t="str">
        <f>IF(Data!$D98="",""," ! under # ser material def'n from MATERIALS spreadsheet,")</f>
        <v/>
      </c>
    </row>
    <row r="1054" spans="1:2">
      <c r="A1054" s="412" t="str">
        <f>IF(Data!$D98="",",","    "&amp;Data!$I98&amp;",")</f>
        <v>,</v>
      </c>
      <c r="B1054" s="412" t="str">
        <f>IF(Data!$D98="",""," ! Roughness")</f>
        <v/>
      </c>
    </row>
    <row r="1055" spans="1:2">
      <c r="A1055" s="412" t="str">
        <f>IF(Data!$D98="",",","    "&amp;Data!$J98/1000&amp;",")</f>
        <v>,</v>
      </c>
      <c r="B1055" s="412" t="str">
        <f>IF(Data!$D98="",""," ! Thickness (m)")</f>
        <v/>
      </c>
    </row>
    <row r="1056" spans="1:2">
      <c r="A1056" s="412" t="str">
        <f>IF(Data!$D98="",",","    "&amp;Data!$K98&amp;",")</f>
        <v>,</v>
      </c>
      <c r="B1056" s="412" t="str">
        <f>IF(Data!$D98="",""," ! Conductivity (W/m-K)")</f>
        <v/>
      </c>
    </row>
    <row r="1057" spans="1:2">
      <c r="A1057" s="412" t="str">
        <f>IF(Data!$D98="",",","    "&amp;Data!$L98&amp;",")</f>
        <v>,</v>
      </c>
      <c r="B1057" s="412" t="str">
        <f>IF(Data!$D98="",""," ! Density kg/m3")</f>
        <v/>
      </c>
    </row>
    <row r="1058" spans="1:2">
      <c r="A1058" s="412" t="str">
        <f>IF(Data!$D98="",",","    "&amp;Data!$M98&amp;",")</f>
        <v>,</v>
      </c>
      <c r="B1058" s="412" t="str">
        <f>IF(Data!$D98="",""," ! Specific Heat (J/kg-K)")</f>
        <v/>
      </c>
    </row>
    <row r="1059" spans="1:2">
      <c r="A1059" s="412" t="str">
        <f>IF(Data!$D98="",",","    "&amp;Data!$N98&amp;",")</f>
        <v>,</v>
      </c>
      <c r="B1059" s="412" t="str">
        <f>IF(Data!$D98="",""," ! Thermal Absorptance")</f>
        <v/>
      </c>
    </row>
    <row r="1060" spans="1:2">
      <c r="A1060" s="412" t="str">
        <f>IF(Data!$D98="",",","    "&amp;Data!$O98&amp;",")</f>
        <v>,</v>
      </c>
      <c r="B1060" s="412" t="str">
        <f>IF(Data!$D98="",""," ! Solar Absorptance")</f>
        <v/>
      </c>
    </row>
    <row r="1061" spans="1:2">
      <c r="A1061" s="412" t="str">
        <f>IF(Data!$D98="",",","    "&amp;Data!$P98&amp;";")</f>
        <v>,</v>
      </c>
      <c r="B1061" s="412" t="str">
        <f>IF(Data!$D98="",""," ! Visible Absorptance")</f>
        <v/>
      </c>
    </row>
    <row r="1062" spans="1:2">
      <c r="A1062" s="412"/>
      <c r="B1062" s="412"/>
    </row>
    <row r="1063" spans="1:2">
      <c r="A1063" s="412" t="str">
        <f>IF(Data!$D99="","","Material,")</f>
        <v/>
      </c>
      <c r="B1063" s="412" t="str">
        <f>IF(Data!$D99="",""," ! User material def'n from MATERIALS spreadsheet,")</f>
        <v/>
      </c>
    </row>
    <row r="1064" spans="1:2">
      <c r="A1064" s="412" t="str">
        <f>IF(Data!$D99="","","    Matl "&amp;Data!$C99&amp;" "&amp;Data!$D99&amp;",")</f>
        <v/>
      </c>
      <c r="B1064" s="412" t="str">
        <f>IF(Data!$D99="",""," ! under # ser material def'n from MATERIALS spreadsheet,")</f>
        <v/>
      </c>
    </row>
    <row r="1065" spans="1:2">
      <c r="A1065" s="412" t="str">
        <f>IF(Data!$D99="",",","    "&amp;Data!$I99&amp;",")</f>
        <v>,</v>
      </c>
      <c r="B1065" s="412" t="str">
        <f>IF(Data!$D99="",""," ! Roughness")</f>
        <v/>
      </c>
    </row>
    <row r="1066" spans="1:2">
      <c r="A1066" s="412" t="str">
        <f>IF(Data!$D99="",",","    "&amp;Data!$J99/1000&amp;",")</f>
        <v>,</v>
      </c>
      <c r="B1066" s="412" t="str">
        <f>IF(Data!$D99="",""," ! Thickness (m)")</f>
        <v/>
      </c>
    </row>
    <row r="1067" spans="1:2">
      <c r="A1067" s="412" t="str">
        <f>IF(Data!$D99="",",","    "&amp;Data!$K99&amp;",")</f>
        <v>,</v>
      </c>
      <c r="B1067" s="412" t="str">
        <f>IF(Data!$D99="",""," ! Conductivity (W/m-K)")</f>
        <v/>
      </c>
    </row>
    <row r="1068" spans="1:2">
      <c r="A1068" s="412" t="str">
        <f>IF(Data!$D99="",",","    "&amp;Data!$L99&amp;",")</f>
        <v>,</v>
      </c>
      <c r="B1068" s="412" t="str">
        <f>IF(Data!$D99="",""," ! Density kg/m3")</f>
        <v/>
      </c>
    </row>
    <row r="1069" spans="1:2">
      <c r="A1069" s="412" t="str">
        <f>IF(Data!$D99="",",","    "&amp;Data!$M99&amp;",")</f>
        <v>,</v>
      </c>
      <c r="B1069" s="412" t="str">
        <f>IF(Data!$D99="",""," ! Specific Heat (J/kg-K)")</f>
        <v/>
      </c>
    </row>
    <row r="1070" spans="1:2">
      <c r="A1070" s="412" t="str">
        <f>IF(Data!$D99="",",","    "&amp;Data!$N99&amp;",")</f>
        <v>,</v>
      </c>
      <c r="B1070" s="412" t="str">
        <f>IF(Data!$D99="",""," ! Thermal Absorptance")</f>
        <v/>
      </c>
    </row>
    <row r="1071" spans="1:2">
      <c r="A1071" s="412" t="str">
        <f>IF(Data!$D99="",",","    "&amp;Data!$O99&amp;",")</f>
        <v>,</v>
      </c>
      <c r="B1071" s="412" t="str">
        <f>IF(Data!$D99="",""," ! Solar Absorptance")</f>
        <v/>
      </c>
    </row>
    <row r="1072" spans="1:2">
      <c r="A1072" s="412" t="str">
        <f>IF(Data!$D99="",",","    "&amp;Data!$P99&amp;";")</f>
        <v>,</v>
      </c>
      <c r="B1072" s="412" t="str">
        <f>IF(Data!$D99="",""," ! Visible Absorptance")</f>
        <v/>
      </c>
    </row>
    <row r="1073" spans="1:2">
      <c r="A1073" s="412"/>
      <c r="B1073" s="412"/>
    </row>
    <row r="1074" spans="1:2">
      <c r="A1074" s="412" t="str">
        <f>IF(Data!$D100="","","Material,")</f>
        <v/>
      </c>
      <c r="B1074" s="412" t="str">
        <f>IF(Data!$D100="",""," ! User material def'n from MATERIALS spreadsheet,")</f>
        <v/>
      </c>
    </row>
    <row r="1075" spans="1:2">
      <c r="A1075" s="412" t="str">
        <f>IF(Data!$D100="","","    Matl "&amp;Data!$C100&amp;" "&amp;Data!$D100&amp;",")</f>
        <v/>
      </c>
      <c r="B1075" s="412" t="str">
        <f>IF(Data!$D100="",""," ! under # ser material def'n from MATERIALS spreadsheet,")</f>
        <v/>
      </c>
    </row>
    <row r="1076" spans="1:2">
      <c r="A1076" s="412" t="str">
        <f>IF(Data!$D100="",",","    "&amp;Data!$I100&amp;",")</f>
        <v>,</v>
      </c>
      <c r="B1076" s="412" t="str">
        <f>IF(Data!$D100="",""," ! Roughness")</f>
        <v/>
      </c>
    </row>
    <row r="1077" spans="1:2">
      <c r="A1077" s="412" t="str">
        <f>IF(Data!$D100="",",","    "&amp;Data!$J100/1000&amp;",")</f>
        <v>,</v>
      </c>
      <c r="B1077" s="412" t="str">
        <f>IF(Data!$D100="",""," ! Thickness (m)")</f>
        <v/>
      </c>
    </row>
    <row r="1078" spans="1:2">
      <c r="A1078" s="412" t="str">
        <f>IF(Data!$D100="",",","    "&amp;Data!$K100&amp;",")</f>
        <v>,</v>
      </c>
      <c r="B1078" s="412" t="str">
        <f>IF(Data!$D100="",""," ! Conductivity (W/m-K)")</f>
        <v/>
      </c>
    </row>
    <row r="1079" spans="1:2">
      <c r="A1079" s="412" t="str">
        <f>IF(Data!$D100="",",","    "&amp;Data!$L100&amp;",")</f>
        <v>,</v>
      </c>
      <c r="B1079" s="412" t="str">
        <f>IF(Data!$D100="",""," ! Density kg/m3")</f>
        <v/>
      </c>
    </row>
    <row r="1080" spans="1:2">
      <c r="A1080" s="412" t="str">
        <f>IF(Data!$D100="",",","    "&amp;Data!$M100&amp;",")</f>
        <v>,</v>
      </c>
      <c r="B1080" s="412" t="str">
        <f>IF(Data!$D100="",""," ! Specific Heat (J/kg-K)")</f>
        <v/>
      </c>
    </row>
    <row r="1081" spans="1:2">
      <c r="A1081" s="412" t="str">
        <f>IF(Data!$D100="",",","    "&amp;Data!$N100&amp;",")</f>
        <v>,</v>
      </c>
      <c r="B1081" s="412" t="str">
        <f>IF(Data!$D100="",""," ! Thermal Absorptance")</f>
        <v/>
      </c>
    </row>
    <row r="1082" spans="1:2">
      <c r="A1082" s="412" t="str">
        <f>IF(Data!$D100="",",","    "&amp;Data!$O100&amp;",")</f>
        <v>,</v>
      </c>
      <c r="B1082" s="412" t="str">
        <f>IF(Data!$D100="",""," ! Solar Absorptance")</f>
        <v/>
      </c>
    </row>
    <row r="1083" spans="1:2">
      <c r="A1083" s="412" t="str">
        <f>IF(Data!$D100="",",","    "&amp;Data!$P100&amp;";")</f>
        <v>,</v>
      </c>
      <c r="B1083" s="412" t="str">
        <f>IF(Data!$D100="",""," ! Visible Absorptance")</f>
        <v/>
      </c>
    </row>
    <row r="1084" spans="1:2">
      <c r="A1084" s="412"/>
      <c r="B1084" s="412"/>
    </row>
    <row r="1085" spans="1:2">
      <c r="A1085" s="412" t="str">
        <f>IF(Data!$D101="","","Material,")</f>
        <v/>
      </c>
      <c r="B1085" s="412" t="str">
        <f>IF(Data!$D101="",""," ! User material def'n from MATERIALS spreadsheet,")</f>
        <v/>
      </c>
    </row>
    <row r="1086" spans="1:2">
      <c r="A1086" s="412" t="str">
        <f>IF(Data!$D101="","","    Matl "&amp;Data!$C101&amp;" "&amp;Data!$D101&amp;",")</f>
        <v/>
      </c>
      <c r="B1086" s="412" t="str">
        <f>IF(Data!$D101="",""," ! under # ser material def'n from MATERIALS spreadsheet,")</f>
        <v/>
      </c>
    </row>
    <row r="1087" spans="1:2">
      <c r="A1087" s="412" t="str">
        <f>IF(Data!$D101="",",","    "&amp;Data!$I101&amp;",")</f>
        <v>,</v>
      </c>
      <c r="B1087" s="412" t="str">
        <f>IF(Data!$D101="",""," ! Roughness")</f>
        <v/>
      </c>
    </row>
    <row r="1088" spans="1:2">
      <c r="A1088" s="412" t="str">
        <f>IF(Data!$D101="",",","    "&amp;Data!$J101/1000&amp;",")</f>
        <v>,</v>
      </c>
      <c r="B1088" s="412" t="str">
        <f>IF(Data!$D101="",""," ! Thickness (m)")</f>
        <v/>
      </c>
    </row>
    <row r="1089" spans="1:2">
      <c r="A1089" s="412" t="str">
        <f>IF(Data!$D101="",",","    "&amp;Data!$K101&amp;",")</f>
        <v>,</v>
      </c>
      <c r="B1089" s="412" t="str">
        <f>IF(Data!$D101="",""," ! Conductivity (W/m-K)")</f>
        <v/>
      </c>
    </row>
    <row r="1090" spans="1:2">
      <c r="A1090" s="412" t="str">
        <f>IF(Data!$D101="",",","    "&amp;Data!$L101&amp;",")</f>
        <v>,</v>
      </c>
      <c r="B1090" s="412" t="str">
        <f>IF(Data!$D101="",""," ! Density kg/m3")</f>
        <v/>
      </c>
    </row>
    <row r="1091" spans="1:2">
      <c r="A1091" s="412" t="str">
        <f>IF(Data!$D101="",",","    "&amp;Data!$M101&amp;",")</f>
        <v>,</v>
      </c>
      <c r="B1091" s="412" t="str">
        <f>IF(Data!$D101="",""," ! Specific Heat (J/kg-K)")</f>
        <v/>
      </c>
    </row>
    <row r="1092" spans="1:2">
      <c r="A1092" s="412" t="str">
        <f>IF(Data!$D101="",",","    "&amp;Data!$N101&amp;",")</f>
        <v>,</v>
      </c>
      <c r="B1092" s="412" t="str">
        <f>IF(Data!$D101="",""," ! Thermal Absorptance")</f>
        <v/>
      </c>
    </row>
    <row r="1093" spans="1:2">
      <c r="A1093" s="412" t="str">
        <f>IF(Data!$D101="",",","    "&amp;Data!$O101&amp;",")</f>
        <v>,</v>
      </c>
      <c r="B1093" s="412" t="str">
        <f>IF(Data!$D101="",""," ! Solar Absorptance")</f>
        <v/>
      </c>
    </row>
    <row r="1094" spans="1:2">
      <c r="A1094" s="412" t="str">
        <f>IF(Data!$D101="",",","    "&amp;Data!$P101&amp;";")</f>
        <v>,</v>
      </c>
      <c r="B1094" s="412" t="str">
        <f>IF(Data!$D101="",""," ! Visible Absorptance")</f>
        <v/>
      </c>
    </row>
    <row r="1095" spans="1:2">
      <c r="A1095" s="412"/>
      <c r="B1095" s="412"/>
    </row>
    <row r="1096" spans="1:2">
      <c r="A1096" s="412" t="str">
        <f>IF(Data!$D102="","","Material,")</f>
        <v/>
      </c>
      <c r="B1096" s="412" t="str">
        <f>IF(Data!$D102="",""," ! User material def'n from MATERIALS spreadsheet,")</f>
        <v/>
      </c>
    </row>
    <row r="1097" spans="1:2">
      <c r="A1097" s="412" t="str">
        <f>IF(Data!$D102="","","    Matl "&amp;Data!$C102&amp;" "&amp;Data!$D102&amp;",")</f>
        <v/>
      </c>
      <c r="B1097" s="412" t="str">
        <f>IF(Data!$D102="",""," ! under # ser material def'n from MATERIALS spreadsheet,")</f>
        <v/>
      </c>
    </row>
    <row r="1098" spans="1:2">
      <c r="A1098" s="412" t="str">
        <f>IF(Data!$D102="",",","    "&amp;Data!$I102&amp;",")</f>
        <v>,</v>
      </c>
      <c r="B1098" s="412" t="str">
        <f>IF(Data!$D102="",""," ! Roughness")</f>
        <v/>
      </c>
    </row>
    <row r="1099" spans="1:2">
      <c r="A1099" s="412" t="str">
        <f>IF(Data!$D102="",",","    "&amp;Data!$J102/1000&amp;",")</f>
        <v>,</v>
      </c>
      <c r="B1099" s="412" t="str">
        <f>IF(Data!$D102="",""," ! Thickness (m)")</f>
        <v/>
      </c>
    </row>
    <row r="1100" spans="1:2">
      <c r="A1100" s="412" t="str">
        <f>IF(Data!$D102="",",","    "&amp;Data!$K102&amp;",")</f>
        <v>,</v>
      </c>
      <c r="B1100" s="412" t="str">
        <f>IF(Data!$D102="",""," ! Conductivity (W/m-K)")</f>
        <v/>
      </c>
    </row>
    <row r="1101" spans="1:2">
      <c r="A1101" s="412" t="str">
        <f>IF(Data!$D102="",",","    "&amp;Data!$L102&amp;",")</f>
        <v>,</v>
      </c>
      <c r="B1101" s="412" t="str">
        <f>IF(Data!$D102="",""," ! Density kg/m3")</f>
        <v/>
      </c>
    </row>
    <row r="1102" spans="1:2">
      <c r="A1102" s="412" t="str">
        <f>IF(Data!$D102="",",","    "&amp;Data!$M102&amp;",")</f>
        <v>,</v>
      </c>
      <c r="B1102" s="412" t="str">
        <f>IF(Data!$D102="",""," ! Specific Heat (J/kg-K)")</f>
        <v/>
      </c>
    </row>
    <row r="1103" spans="1:2">
      <c r="A1103" s="412" t="str">
        <f>IF(Data!$D102="",",","    "&amp;Data!$N102&amp;",")</f>
        <v>,</v>
      </c>
      <c r="B1103" s="412" t="str">
        <f>IF(Data!$D102="",""," ! Thermal Absorptance")</f>
        <v/>
      </c>
    </row>
    <row r="1104" spans="1:2">
      <c r="A1104" s="412" t="str">
        <f>IF(Data!$D102="",",","    "&amp;Data!$O102&amp;",")</f>
        <v>,</v>
      </c>
      <c r="B1104" s="412" t="str">
        <f>IF(Data!$D102="",""," ! Solar Absorptance")</f>
        <v/>
      </c>
    </row>
    <row r="1105" spans="1:2">
      <c r="A1105" s="412" t="str">
        <f>IF(Data!$D102="",",","    "&amp;Data!$P102&amp;";")</f>
        <v>,</v>
      </c>
      <c r="B1105" s="412" t="str">
        <f>IF(Data!$D102="",""," ! Visible Absorptance")</f>
        <v/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7"/>
  <sheetViews>
    <sheetView zoomScaleNormal="100" zoomScalePageLayoutView="60" workbookViewId="0"/>
  </sheetViews>
  <sheetFormatPr defaultRowHeight="14.25"/>
  <cols>
    <col min="1" max="1" width="47.875" style="1"/>
    <col min="2" max="2" width="72.25" style="1"/>
    <col min="3" max="3" width="44.875" style="1"/>
    <col min="4" max="4" width="18.75" style="1"/>
    <col min="5" max="5" width="22.75" style="1"/>
    <col min="6" max="1025" width="12" style="1"/>
  </cols>
  <sheetData>
    <row r="1" spans="1:2">
      <c r="A1" s="412"/>
      <c r="B1" s="412"/>
    </row>
    <row r="2" spans="1:2">
      <c r="A2" s="412" t="s">
        <v>1145</v>
      </c>
      <c r="B2" s="415" t="s">
        <v>1146</v>
      </c>
    </row>
    <row r="3" spans="1:2">
      <c r="A3" s="412" t="s">
        <v>1145</v>
      </c>
      <c r="B3" s="415" t="s">
        <v>1147</v>
      </c>
    </row>
    <row r="4" spans="1:2">
      <c r="A4" s="412"/>
      <c r="B4" s="412"/>
    </row>
    <row r="5" spans="1:2">
      <c r="A5" s="412"/>
      <c r="B5" s="412"/>
    </row>
    <row r="6" spans="1:2">
      <c r="A6" s="412"/>
      <c r="B6" s="412"/>
    </row>
    <row r="7" spans="1:2">
      <c r="A7" s="412" t="str">
        <f>IF(WINDOWS!$C8="","","Construction")</f>
        <v>Construction</v>
      </c>
      <c r="B7" s="412" t="str">
        <f>IF(WINDOWS!$C8="","",IF(WINDOWS!$D8="","! User defined window construction from spreadheet WINDOWS,","! Based on E+ dataset "&amp;WINDOWS!$E8&amp;". "))</f>
        <v xml:space="preserve">! Based on E+ dataset Sgl Bronze 3mm. </v>
      </c>
    </row>
    <row r="8" spans="1:2">
      <c r="A8" s="412" t="str">
        <f>IF(WINDOWS!$C8="","","    Window Cons. "&amp;WINDOWS!$B8&amp;",")</f>
        <v xml:space="preserve">    Window Cons. 1,</v>
      </c>
      <c r="B8" s="412" t="str">
        <f>IF(WINDOWS!$C8="","","! for Project Win Cons. Name: "&amp;WINDOWS!$C8)</f>
        <v>! for Project Win Cons. Name: G1</v>
      </c>
    </row>
    <row r="9" spans="1:2">
      <c r="A9" s="412" t="str">
        <f>IF(WINDOWS!$C8="","",IF(WINDOWS!$L8="","","   "&amp;IF(WINDOWS!$E8="",WINDOWS!$K8,WINDOWS!$J8)&amp;" "&amp;WINDOWS!$L8&amp;IF(WINDOWS!$P8="",";",",")))</f>
        <v xml:space="preserve">    BRONZE 3MM;</v>
      </c>
      <c r="B9" s="412" t="str">
        <f>IF(WINDOWS!$C8="","","! Layer 1")</f>
        <v>! Layer 1</v>
      </c>
    </row>
    <row r="10" spans="1:2">
      <c r="A10" s="412" t="str">
        <f>IF(WINDOWS!$C8="","",IF(WINDOWS!$P8="","","   "&amp;IF(WINDOWS!$E8="",WINDOWS!$O8,WINDOWS!$N8)&amp;" "&amp;WINDOWS!$P8&amp;IF(WINDOWS!$T8="",";",",")))</f>
        <v/>
      </c>
      <c r="B10" s="412" t="str">
        <f>IF(WINDOWS!$C8="","","! Layer 2")</f>
        <v>! Layer 2</v>
      </c>
    </row>
    <row r="11" spans="1:2">
      <c r="A11" s="412" t="str">
        <f>IF(WINDOWS!$C8="","",IF(WINDOWS!$T8="","","   "&amp;IF(WINDOWS!$E8="",WINDOWS!$S8,WINDOWS!$R8)&amp;" "&amp;WINDOWS!$T8&amp;IF(WINDOWS!$X8="",";",",")))</f>
        <v/>
      </c>
      <c r="B11" s="412" t="str">
        <f>IF(WINDOWS!$C8="","","! Layer 3")</f>
        <v>! Layer 3</v>
      </c>
    </row>
    <row r="12" spans="1:2">
      <c r="A12" s="412" t="str">
        <f>IF(WINDOWS!$C8="","",IF(WINDOWS!$X8="","","   "&amp;IF(WINDOWS!$E8="",WINDOWS!$W8,WINDOWS!$V8)&amp;" "&amp;WINDOWS!$X8&amp;IF(WINDOWS!$AB8="",";",",")))</f>
        <v/>
      </c>
      <c r="B12" s="412" t="str">
        <f>IF(WINDOWS!$C8="","","! Layer 4")</f>
        <v>! Layer 4</v>
      </c>
    </row>
    <row r="13" spans="1:2">
      <c r="A13" s="412" t="str">
        <f>IF(WINDOWS!$C8="","",IF(WINDOWS!$AB8="","","   "&amp;IF(WINDOWS!$E8="",WINDOWS!$AA8,WINDOWS!$Z8)&amp;" "&amp;WINDOWS!$AB8&amp;IF(WINDOWS!$AF8="",";",",")))</f>
        <v/>
      </c>
      <c r="B13" s="412" t="str">
        <f>IF(WINDOWS!$C8="","","! Layer 5")</f>
        <v>! Layer 5</v>
      </c>
    </row>
    <row r="14" spans="1:2">
      <c r="A14" s="412" t="str">
        <f>IF(WINDOWS!$C8="","",IF(WINDOWS!$AF8="","","   "&amp;IF(WINDOWS!$E8="",WINDOWS!$AE8,WINDOWS!$AD8)&amp;" "&amp;WINDOWS!$AF8&amp;IF(WINDOWS!$AJ8="",";",",")))</f>
        <v/>
      </c>
      <c r="B14" s="412" t="str">
        <f>IF(WINDOWS!$C8="","","! Layer 6")</f>
        <v>! Layer 6</v>
      </c>
    </row>
    <row r="15" spans="1:2">
      <c r="A15" s="412" t="str">
        <f>IF(WINDOWS!$C8="","",IF(WINDOWS!$AJ8="","","   "&amp;IF(WINDOWS!$E8="",WINDOWS!$AI8,WINDOWS!$AH8)&amp;" "&amp;WINDOWS!$AJ8&amp;";"))</f>
        <v/>
      </c>
      <c r="B15" s="412" t="str">
        <f>IF(WINDOWS!$C8="","","! Layer 7")</f>
        <v>! Layer 7</v>
      </c>
    </row>
    <row r="16" spans="1:2">
      <c r="A16" s="412"/>
      <c r="B16" s="412"/>
    </row>
    <row r="17" spans="1:2">
      <c r="A17" s="412" t="str">
        <f>IF(WINDOWS!$C9="","","Construction")</f>
        <v>Construction</v>
      </c>
      <c r="B17" s="412" t="str">
        <f>IF(WINDOWS!$C9="","",IF(WINDOWS!$D9="","! User defined window construction from spreadheet WINDOWS,","! Based on E+ dataset "&amp;WINDOWS!$E9&amp;". "))</f>
        <v xml:space="preserve">! Based on E+ dataset Sgl Clr 6mm. </v>
      </c>
    </row>
    <row r="18" spans="1:2">
      <c r="A18" s="412" t="str">
        <f>IF(WINDOWS!$C9="","","    Window Cons. "&amp;WINDOWS!$B9&amp;",")</f>
        <v xml:space="preserve">    Window Cons. 2,</v>
      </c>
      <c r="B18" s="412" t="str">
        <f>IF(WINDOWS!$C9="","","! for Project Cons. Name: "&amp;WINDOWS!$C9)</f>
        <v>! for Project Cons. Name: G2</v>
      </c>
    </row>
    <row r="19" spans="1:2">
      <c r="A19" s="412" t="str">
        <f>IF(WINDOWS!$C9="","",IF(WINDOWS!$L9="","","   "&amp;IF(WINDOWS!$E9="",WINDOWS!$K9,WINDOWS!$J9)&amp;" "&amp;WINDOWS!$L9&amp;IF(WINDOWS!$P9="",";",",")))</f>
        <v xml:space="preserve">    CLEAR 6MM;</v>
      </c>
      <c r="B19" s="412" t="str">
        <f>IF(WINDOWS!$C9="","","! Layer 1")</f>
        <v>! Layer 1</v>
      </c>
    </row>
    <row r="20" spans="1:2">
      <c r="A20" s="412" t="str">
        <f>IF(WINDOWS!$C9="","",IF(WINDOWS!$P9="","","   "&amp;IF(WINDOWS!$E9="",WINDOWS!$O9,WINDOWS!$N9)&amp;" "&amp;WINDOWS!$P9&amp;IF(WINDOWS!$T9="",";",",")))</f>
        <v/>
      </c>
      <c r="B20" s="412" t="str">
        <f>IF(WINDOWS!$C9="","","! Layer 2")</f>
        <v>! Layer 2</v>
      </c>
    </row>
    <row r="21" spans="1:2">
      <c r="A21" s="412" t="str">
        <f>IF(WINDOWS!$C9="","",IF(WINDOWS!$T9="","","   "&amp;IF(WINDOWS!$E9="",WINDOWS!$S9,WINDOWS!$R9)&amp;" "&amp;WINDOWS!$T9&amp;IF(WINDOWS!$X9="",";",",")))</f>
        <v/>
      </c>
      <c r="B21" s="412" t="str">
        <f>IF(WINDOWS!$C9="","","! Layer 3")</f>
        <v>! Layer 3</v>
      </c>
    </row>
    <row r="22" spans="1:2">
      <c r="A22" s="412" t="str">
        <f>IF(WINDOWS!$C9="","",IF(WINDOWS!$X9="","","   "&amp;IF(WINDOWS!$E9="",WINDOWS!$W9,WINDOWS!$V9)&amp;" "&amp;WINDOWS!$X9&amp;IF(WINDOWS!$AB9="",";",",")))</f>
        <v/>
      </c>
      <c r="B22" s="412" t="str">
        <f>IF(WINDOWS!$C9="","","! Layer 4")</f>
        <v>! Layer 4</v>
      </c>
    </row>
    <row r="23" spans="1:2">
      <c r="A23" s="412" t="str">
        <f>IF(WINDOWS!$C9="","",IF(WINDOWS!$AB9="","","   "&amp;IF(WINDOWS!$E9="",WINDOWS!$AA9,WINDOWS!$Z9)&amp;" "&amp;WINDOWS!$AB9&amp;IF(WINDOWS!$AF9="",";",",")))</f>
        <v/>
      </c>
      <c r="B23" s="412" t="str">
        <f>IF(WINDOWS!$C9="","","! Layer 5")</f>
        <v>! Layer 5</v>
      </c>
    </row>
    <row r="24" spans="1:2">
      <c r="A24" s="412" t="str">
        <f>IF(WINDOWS!$C9="","",IF(WINDOWS!$AF9="","","   "&amp;IF(WINDOWS!$E9="",WINDOWS!$AE9,WINDOWS!$AD9)&amp;" "&amp;WINDOWS!$AF9&amp;IF(WINDOWS!$AJ9="",";",",")))</f>
        <v/>
      </c>
      <c r="B24" s="412" t="str">
        <f>IF(WINDOWS!$C9="","","! Layer 6")</f>
        <v>! Layer 6</v>
      </c>
    </row>
    <row r="25" spans="1:2">
      <c r="A25" s="412" t="str">
        <f>IF(WINDOWS!$C9="","",IF(WINDOWS!$AJ9="","","   "&amp;IF(WINDOWS!$E9="",WINDOWS!$AI9,WINDOWS!$AH9)&amp;" "&amp;WINDOWS!$AJ9&amp;";"))</f>
        <v/>
      </c>
      <c r="B25" s="412" t="str">
        <f>IF(WINDOWS!$C9="","","! Layer 7")</f>
        <v>! Layer 7</v>
      </c>
    </row>
    <row r="26" spans="1:2">
      <c r="A26" s="412"/>
      <c r="B26" s="412"/>
    </row>
    <row r="27" spans="1:2">
      <c r="A27" s="412" t="str">
        <f>IF(WINDOWS!$C10="","","Construction")</f>
        <v>Construction</v>
      </c>
      <c r="B27" s="412" t="str">
        <f>IF(WINDOWS!$C10="","",IF(WINDOWS!$D10="","! User defined window construction from spreadheet WINDOWS,","! Based on E+ dataset "&amp;WINDOWS!$E10&amp;". "))</f>
        <v xml:space="preserve">! Based on E+ dataset Dbl Ref-A-M Clr 6mm/13mm Air. </v>
      </c>
    </row>
    <row r="28" spans="1:2">
      <c r="A28" s="412" t="str">
        <f>IF(WINDOWS!$C10="","","    Window Cons. "&amp;WINDOWS!$B10&amp;",")</f>
        <v xml:space="preserve">    Window Cons. 3,</v>
      </c>
      <c r="B28" s="412" t="str">
        <f>IF(WINDOWS!$C10="","","! for Project Cons. Name: "&amp;WINDOWS!$C10)</f>
        <v>! for Project Cons. Name: G3</v>
      </c>
    </row>
    <row r="29" spans="1:2">
      <c r="A29" s="412" t="str">
        <f>IF(WINDOWS!$C10="","",IF(WINDOWS!$L10="","","   "&amp;IF(WINDOWS!$E10="",WINDOWS!$K10,WINDOWS!$J10)&amp;" "&amp;WINDOWS!$L10&amp;IF(WINDOWS!$P10="",";",",")))</f>
        <v xml:space="preserve">    REF A CLEAR MID 6MM,</v>
      </c>
      <c r="B29" s="412" t="str">
        <f>IF(WINDOWS!$C10="","","! Layer 1")</f>
        <v>! Layer 1</v>
      </c>
    </row>
    <row r="30" spans="1:2">
      <c r="A30" s="412" t="str">
        <f>IF(WINDOWS!$C10="","",IF(WINDOWS!$P10="","","   "&amp;IF(WINDOWS!$E10="",WINDOWS!$O10,WINDOWS!$N10)&amp;" "&amp;WINDOWS!$P10&amp;IF(WINDOWS!$T10="",";",",")))</f>
        <v xml:space="preserve">    AIR 13MM,</v>
      </c>
      <c r="B30" s="412" t="str">
        <f>IF(WINDOWS!$C10="","","! Layer 2")</f>
        <v>! Layer 2</v>
      </c>
    </row>
    <row r="31" spans="1:2">
      <c r="A31" s="412" t="str">
        <f>IF(WINDOWS!$C10="","",IF(WINDOWS!$T10="","","   "&amp;IF(WINDOWS!$E10="",WINDOWS!$S10,WINDOWS!$R10)&amp;" "&amp;WINDOWS!$T10&amp;IF(WINDOWS!$X10="",";",",")))</f>
        <v xml:space="preserve">    CLEAR 6MM;</v>
      </c>
      <c r="B31" s="412" t="str">
        <f>IF(WINDOWS!$C10="","","! Layer 3")</f>
        <v>! Layer 3</v>
      </c>
    </row>
    <row r="32" spans="1:2">
      <c r="A32" s="412" t="str">
        <f>IF(WINDOWS!$C10="","",IF(WINDOWS!$X10="","","   "&amp;IF(WINDOWS!$E10="",WINDOWS!$W10,WINDOWS!$V10)&amp;" "&amp;WINDOWS!$X10&amp;IF(WINDOWS!$AB10="",";",",")))</f>
        <v/>
      </c>
      <c r="B32" s="412" t="str">
        <f>IF(WINDOWS!$C10="","","! Layer 4")</f>
        <v>! Layer 4</v>
      </c>
    </row>
    <row r="33" spans="1:4">
      <c r="A33" s="412" t="str">
        <f>IF(WINDOWS!$C10="","",IF(WINDOWS!$AB10="","","   "&amp;IF(WINDOWS!$E10="",WINDOWS!$AA10,WINDOWS!$Z10)&amp;" "&amp;WINDOWS!$AB10&amp;IF(WINDOWS!$AF10="",";",",")))</f>
        <v/>
      </c>
      <c r="B33" s="412" t="str">
        <f>IF(WINDOWS!$C10="","","! Layer 5")</f>
        <v>! Layer 5</v>
      </c>
    </row>
    <row r="34" spans="1:4">
      <c r="A34" s="412" t="str">
        <f>IF(WINDOWS!$C10="","",IF(WINDOWS!$AF10="","","   "&amp;IF(WINDOWS!$E10="",WINDOWS!$AE10,WINDOWS!$AD10)&amp;" "&amp;WINDOWS!$AF10&amp;IF(WINDOWS!$AJ10="",";",",")))</f>
        <v/>
      </c>
      <c r="B34" s="412" t="str">
        <f>IF(WINDOWS!$C10="","","! Layer 6")</f>
        <v>! Layer 6</v>
      </c>
    </row>
    <row r="35" spans="1:4">
      <c r="A35" s="412" t="str">
        <f>IF(WINDOWS!$C10="","",IF(WINDOWS!$AJ10="","","   "&amp;IF(WINDOWS!$E10="",WINDOWS!$AI10,WINDOWS!$AH10)&amp;" "&amp;WINDOWS!$AJ10&amp;";"))</f>
        <v/>
      </c>
      <c r="B35" s="412" t="str">
        <f>IF(WINDOWS!$C10="","","! Layer 7")</f>
        <v>! Layer 7</v>
      </c>
    </row>
    <row r="36" spans="1:4">
      <c r="A36" s="412"/>
      <c r="B36" s="412"/>
    </row>
    <row r="37" spans="1:4">
      <c r="A37" s="412" t="str">
        <f>IF(WINDOWS!$C11="","","Construction")</f>
        <v>Construction</v>
      </c>
      <c r="B37" s="412" t="str">
        <f>IF(WINDOWS!$C11="","",IF(WINDOWS!$D11="","! User defined window construction from spreadheet WINDOWS,","! Based on E+ dataset "&amp;WINDOWS!$E11&amp;". "))</f>
        <v xml:space="preserve">! Based on E+ dataset Sgl Clr Low Iron 3mm. </v>
      </c>
    </row>
    <row r="38" spans="1:4">
      <c r="A38" s="412" t="str">
        <f>IF(WINDOWS!$C11="","","    Window Cons. "&amp;WINDOWS!$B11&amp;",")</f>
        <v xml:space="preserve">    Window Cons. 4,</v>
      </c>
      <c r="B38" s="412" t="str">
        <f>IF(WINDOWS!$C11="","","! for Project Cons. Name: "&amp;WINDOWS!$C11)</f>
        <v>! for Project Cons. Name: G4</v>
      </c>
    </row>
    <row r="39" spans="1:4">
      <c r="A39" s="412" t="str">
        <f>IF(WINDOWS!$C11="","",IF(WINDOWS!$L11="","","   "&amp;IF(WINDOWS!$E11="",WINDOWS!$K11,WINDOWS!$J11)&amp;" "&amp;WINDOWS!$L11&amp;IF(WINDOWS!$P11="",";",",")))</f>
        <v xml:space="preserve">    LOW IRON 3MM;</v>
      </c>
      <c r="B39" s="412" t="str">
        <f>IF(WINDOWS!$C11="","","! Layer 1")</f>
        <v>! Layer 1</v>
      </c>
      <c r="C39" s="412" t="str">
        <f>IF(WINDOWS!$C40="","","Construction")</f>
        <v/>
      </c>
      <c r="D39" s="412" t="str">
        <f>IF(WINDOWS!$C40="","",IF(WINDOWS!$D40="","! User defined window construction from spreadheet WINDOWS,","! Based on E+ dataset "&amp;WINDOWS!$E40&amp;". "))</f>
        <v/>
      </c>
    </row>
    <row r="40" spans="1:4">
      <c r="A40" s="412" t="str">
        <f>IF(WINDOWS!$C11="","",IF(WINDOWS!$P11="","","   "&amp;IF(WINDOWS!$E11="",WINDOWS!$O11,WINDOWS!$N11)&amp;" "&amp;WINDOWS!$P11&amp;IF(WINDOWS!$T11="",";",",")))</f>
        <v/>
      </c>
      <c r="B40" s="412" t="str">
        <f>IF(WINDOWS!$C11="","","! Layer 2")</f>
        <v>! Layer 2</v>
      </c>
      <c r="C40" s="412" t="str">
        <f>IF(WINDOWS!$C40="","","    Window Cons. "&amp;WINDOWS!$B40&amp;",")</f>
        <v/>
      </c>
      <c r="D40" s="412" t="str">
        <f>IF(WINDOWS!$C40="","","! for Project Win Cons. Name: "&amp;WINDOWS!$C40)</f>
        <v/>
      </c>
    </row>
    <row r="41" spans="1:4">
      <c r="A41" s="412" t="str">
        <f>IF(WINDOWS!$C11="","",IF(WINDOWS!$T11="","","   "&amp;IF(WINDOWS!$E11="",WINDOWS!$S11,WINDOWS!$R11)&amp;" "&amp;WINDOWS!$T11&amp;IF(WINDOWS!$X11="",";",",")))</f>
        <v/>
      </c>
      <c r="B41" s="412" t="str">
        <f>IF(WINDOWS!$C11="","","! Layer 3")</f>
        <v>! Layer 3</v>
      </c>
      <c r="C41" s="412" t="str">
        <f>IF(WINDOWS!$C40="","",IF(WINDOWS!$L40="","","   "&amp;IF(WINDOWS!$E40="",WINDOWS!$K40,WINDOWS!$J40)&amp;" "&amp;WINDOWS!$L40&amp;IF(WINDOWS!$P40="",";",",")))</f>
        <v/>
      </c>
      <c r="D41" s="412" t="str">
        <f>IF(WINDOWS!$C40="","","! Layer 1")</f>
        <v/>
      </c>
    </row>
    <row r="42" spans="1:4">
      <c r="A42" s="412" t="str">
        <f>IF(WINDOWS!$C11="","",IF(WINDOWS!$X11="","","   "&amp;IF(WINDOWS!$E11="",WINDOWS!$W11,WINDOWS!$V11)&amp;" "&amp;WINDOWS!$X11&amp;IF(WINDOWS!$AB11="",";",",")))</f>
        <v/>
      </c>
      <c r="B42" s="412" t="str">
        <f>IF(WINDOWS!$C11="","","! Layer 4")</f>
        <v>! Layer 4</v>
      </c>
      <c r="C42" s="412" t="str">
        <f>IF(WINDOWS!$C40="","",IF(WINDOWS!$P40="","","   "&amp;IF(WINDOWS!$E40="",WINDOWS!$O40,WINDOWS!$N40)&amp;" "&amp;WINDOWS!$P40&amp;IF(WINDOWS!$T40="",";",",")))</f>
        <v/>
      </c>
      <c r="D42" s="412" t="str">
        <f>IF(WINDOWS!$C40="","","! Layer 2")</f>
        <v/>
      </c>
    </row>
    <row r="43" spans="1:4">
      <c r="A43" s="412" t="str">
        <f>IF(WINDOWS!$C11="","",IF(WINDOWS!$AB11="","","   "&amp;IF(WINDOWS!$E11="",WINDOWS!$AA11,WINDOWS!$Z11)&amp;" "&amp;WINDOWS!$AB11&amp;IF(WINDOWS!$AF11="",";",",")))</f>
        <v/>
      </c>
      <c r="B43" s="412" t="str">
        <f>IF(WINDOWS!$C11="","","! Layer 5")</f>
        <v>! Layer 5</v>
      </c>
      <c r="C43" s="412" t="str">
        <f>IF(WINDOWS!$C40="","",IF(WINDOWS!$T40="","","   "&amp;IF(WINDOWS!$E40="",WINDOWS!$S40,WINDOWS!$R40)&amp;" "&amp;WINDOWS!$T40&amp;IF(WINDOWS!$X40="",";",",")))</f>
        <v/>
      </c>
      <c r="D43" s="412" t="str">
        <f>IF(WINDOWS!$C40="","","! Layer 3")</f>
        <v/>
      </c>
    </row>
    <row r="44" spans="1:4">
      <c r="A44" s="412" t="str">
        <f>IF(WINDOWS!$C11="","",IF(WINDOWS!$AF11="","","   "&amp;IF(WINDOWS!$E11="",WINDOWS!$AE11,WINDOWS!$AD11)&amp;" "&amp;WINDOWS!$AF11&amp;IF(WINDOWS!$AJ11="",";",",")))</f>
        <v/>
      </c>
      <c r="B44" s="412" t="str">
        <f>IF(WINDOWS!$C11="","","! Layer 6")</f>
        <v>! Layer 6</v>
      </c>
      <c r="C44" s="412" t="str">
        <f>IF(WINDOWS!$C40="","",IF(WINDOWS!$X40="","","   "&amp;IF(WINDOWS!$E40="",WINDOWS!$W40,WINDOWS!$V40)&amp;" "&amp;WINDOWS!$X40&amp;IF(WINDOWS!$AB40="",";",",")))</f>
        <v/>
      </c>
      <c r="D44" s="412" t="str">
        <f>IF(WINDOWS!$C40="","","! Layer 4")</f>
        <v/>
      </c>
    </row>
    <row r="45" spans="1:4">
      <c r="A45" s="412" t="str">
        <f>IF(WINDOWS!$C11="","",IF(WINDOWS!$AJ11="","","   "&amp;IF(WINDOWS!$E11="",WINDOWS!$AI11,WINDOWS!$AH11)&amp;" "&amp;WINDOWS!$AJ11&amp;";"))</f>
        <v/>
      </c>
      <c r="B45" s="412" t="str">
        <f>IF(WINDOWS!$C11="","","! Layer 7")</f>
        <v>! Layer 7</v>
      </c>
      <c r="C45" s="412" t="str">
        <f>IF(WINDOWS!$C40="","",IF(WINDOWS!$AB40="","","   "&amp;IF(WINDOWS!$E40="",WINDOWS!$AA40,WINDOWS!$Z40)&amp;" "&amp;WINDOWS!$AB40&amp;IF(WINDOWS!$AF40="",";",",")))</f>
        <v/>
      </c>
      <c r="D45" s="412" t="str">
        <f>IF(WINDOWS!$C40="","","! Layer 5")</f>
        <v/>
      </c>
    </row>
    <row r="46" spans="1:4">
      <c r="A46" s="412"/>
      <c r="B46" s="412"/>
      <c r="C46" s="412" t="str">
        <f>IF(WINDOWS!$C40="","",IF(WINDOWS!$AF40="","","   "&amp;IF(WINDOWS!$E40="",WINDOWS!$AE40,WINDOWS!$AD40)&amp;" "&amp;WINDOWS!$AF40&amp;IF(WINDOWS!$AJ40="",";",",")))</f>
        <v/>
      </c>
      <c r="D46" s="412" t="str">
        <f>IF(WINDOWS!$C40="","","! Layer 6")</f>
        <v/>
      </c>
    </row>
    <row r="47" spans="1:4">
      <c r="A47" s="412" t="str">
        <f>IF(WINDOWS!$C12="","","Construction")</f>
        <v>Construction</v>
      </c>
      <c r="B47" s="412" t="str">
        <f>IF(WINDOWS!$C12="","",IF(WINDOWS!$D12="","! User defined window construction from spreadheet WINDOWS,","! Based on E+ dataset "&amp;WINDOWS!$E12&amp;". "))</f>
        <v xml:space="preserve">! Based on E+ dataset Sgl Elec Abs Colored 6mm. </v>
      </c>
      <c r="C47" s="412" t="str">
        <f>IF(WINDOWS!$C40="","",IF(WINDOWS!$AJ40="","","   "&amp;IF(WINDOWS!$E40="",WINDOWS!$AI40,WINDOWS!$AH40)&amp;" "&amp;WINDOWS!$AJ40&amp;";"))</f>
        <v/>
      </c>
      <c r="D47" s="412" t="str">
        <f>IF(WINDOWS!$C40="","","! Layer 7")</f>
        <v/>
      </c>
    </row>
    <row r="48" spans="1:4">
      <c r="A48" s="412" t="str">
        <f>IF(WINDOWS!$C12="","","    Window Cons. "&amp;WINDOWS!$B12&amp;",")</f>
        <v xml:space="preserve">    Window Cons. 5,</v>
      </c>
      <c r="B48" s="412" t="str">
        <f>IF(WINDOWS!$C12="","","! for Project Cons. Name: "&amp;WINDOWS!$C12)</f>
        <v>! for Project Cons. Name: G5</v>
      </c>
      <c r="C48" s="412"/>
      <c r="D48" s="412"/>
    </row>
    <row r="49" spans="1:4">
      <c r="A49" s="412" t="str">
        <f>IF(WINDOWS!$C12="","",IF(WINDOWS!$L12="","","   "&amp;IF(WINDOWS!$E12="",WINDOWS!$K12,WINDOWS!$J12)&amp;" "&amp;WINDOWS!$L12&amp;IF(WINDOWS!$P12="",";",",")))</f>
        <v xml:space="preserve">    ECABS-1 COLORED 6MM;</v>
      </c>
      <c r="B49" s="412" t="str">
        <f>IF(WINDOWS!$C12="","","! Layer 1")</f>
        <v>! Layer 1</v>
      </c>
      <c r="C49" s="412" t="str">
        <f>IF(WINDOWS!$C41="","","Construction")</f>
        <v/>
      </c>
      <c r="D49" s="412" t="str">
        <f>IF(WINDOWS!$C41="","",IF(WINDOWS!$D41="","! User defined window construction from spreadheet WINDOWS,","! Based on E+ dataset "&amp;WINDOWS!$E41&amp;". "))</f>
        <v/>
      </c>
    </row>
    <row r="50" spans="1:4">
      <c r="A50" s="412" t="str">
        <f>IF(WINDOWS!$C12="","",IF(WINDOWS!$P12="","","   "&amp;IF(WINDOWS!$E12="",WINDOWS!$O12,WINDOWS!$N12)&amp;" "&amp;WINDOWS!$P12&amp;IF(WINDOWS!$T12="",";",",")))</f>
        <v/>
      </c>
      <c r="B50" s="412" t="str">
        <f>IF(WINDOWS!$C12="","","! Layer 2")</f>
        <v>! Layer 2</v>
      </c>
      <c r="C50" s="412" t="str">
        <f>IF(WINDOWS!$C41="","","    Window Cons. "&amp;WINDOWS!$B41&amp;",")</f>
        <v/>
      </c>
      <c r="D50" s="412" t="str">
        <f>IF(WINDOWS!$C41="","","! for Project Cons. Name: "&amp;WINDOWS!$C41)</f>
        <v/>
      </c>
    </row>
    <row r="51" spans="1:4">
      <c r="A51" s="412" t="str">
        <f>IF(WINDOWS!$C12="","",IF(WINDOWS!$T12="","","   "&amp;IF(WINDOWS!$E12="",WINDOWS!$S12,WINDOWS!$R12)&amp;" "&amp;WINDOWS!$T12&amp;IF(WINDOWS!$X12="",";",",")))</f>
        <v/>
      </c>
      <c r="B51" s="412" t="str">
        <f>IF(WINDOWS!$C12="","","! Layer 3")</f>
        <v>! Layer 3</v>
      </c>
      <c r="C51" s="412" t="str">
        <f>IF(WINDOWS!$C41="","",IF(WINDOWS!$L41="","","   "&amp;IF(WINDOWS!$E41="",WINDOWS!$K41,WINDOWS!$J41)&amp;" "&amp;WINDOWS!$L41&amp;IF(WINDOWS!$P41="",";",",")))</f>
        <v/>
      </c>
      <c r="D51" s="412" t="str">
        <f>IF(WINDOWS!$C41="","","! Layer 1")</f>
        <v/>
      </c>
    </row>
    <row r="52" spans="1:4">
      <c r="A52" s="412" t="str">
        <f>IF(WINDOWS!$C12="","",IF(WINDOWS!$X12="","","   "&amp;IF(WINDOWS!$E12="",WINDOWS!$W12,WINDOWS!$V12)&amp;" "&amp;WINDOWS!$X12&amp;IF(WINDOWS!$AB12="",";",",")))</f>
        <v/>
      </c>
      <c r="B52" s="412" t="str">
        <f>IF(WINDOWS!$C12="","","! Layer 4")</f>
        <v>! Layer 4</v>
      </c>
      <c r="C52" s="412" t="str">
        <f>IF(WINDOWS!$C41="","",IF(WINDOWS!$P41="","","   "&amp;IF(WINDOWS!$E41="",WINDOWS!$O41,WINDOWS!$N41)&amp;" "&amp;WINDOWS!$P41&amp;IF(WINDOWS!$T41="",";",",")))</f>
        <v/>
      </c>
      <c r="D52" s="412" t="str">
        <f>IF(WINDOWS!$C41="","","! Layer 2")</f>
        <v/>
      </c>
    </row>
    <row r="53" spans="1:4">
      <c r="A53" s="412" t="str">
        <f>IF(WINDOWS!$C12="","",IF(WINDOWS!$AB12="","","   "&amp;IF(WINDOWS!$E12="",WINDOWS!$AA12,WINDOWS!$Z12)&amp;" "&amp;WINDOWS!$AB12&amp;IF(WINDOWS!$AF12="",";",",")))</f>
        <v/>
      </c>
      <c r="B53" s="412" t="str">
        <f>IF(WINDOWS!$C12="","","! Layer 5")</f>
        <v>! Layer 5</v>
      </c>
      <c r="C53" s="412" t="str">
        <f>IF(WINDOWS!$C41="","",IF(WINDOWS!$T41="","","   "&amp;IF(WINDOWS!$E41="",WINDOWS!$S41,WINDOWS!$R41)&amp;" "&amp;WINDOWS!$T41&amp;IF(WINDOWS!$X41="",";",",")))</f>
        <v/>
      </c>
      <c r="D53" s="412" t="str">
        <f>IF(WINDOWS!$C41="","","! Layer 3")</f>
        <v/>
      </c>
    </row>
    <row r="54" spans="1:4">
      <c r="A54" s="412" t="str">
        <f>IF(WINDOWS!$C12="","",IF(WINDOWS!$AF12="","","   "&amp;IF(WINDOWS!$E12="",WINDOWS!$AE12,WINDOWS!$AD12)&amp;" "&amp;WINDOWS!$AF12&amp;IF(WINDOWS!$AJ12="",";",",")))</f>
        <v/>
      </c>
      <c r="B54" s="412" t="str">
        <f>IF(WINDOWS!$C12="","","! Layer 6")</f>
        <v>! Layer 6</v>
      </c>
      <c r="C54" s="412" t="str">
        <f>IF(WINDOWS!$C41="","",IF(WINDOWS!$X41="","","   "&amp;IF(WINDOWS!$E41="",WINDOWS!$W41,WINDOWS!$V41)&amp;" "&amp;WINDOWS!$X41&amp;IF(WINDOWS!$AB41="",";",",")))</f>
        <v/>
      </c>
      <c r="D54" s="412" t="str">
        <f>IF(WINDOWS!$C41="","","! Layer 4")</f>
        <v/>
      </c>
    </row>
    <row r="55" spans="1:4">
      <c r="A55" s="412" t="str">
        <f>IF(WINDOWS!$C12="","",IF(WINDOWS!$AJ12="","","   "&amp;IF(WINDOWS!$E12="",WINDOWS!$AI12,WINDOWS!$AH12)&amp;" "&amp;WINDOWS!$AJ12&amp;";"))</f>
        <v/>
      </c>
      <c r="B55" s="412" t="str">
        <f>IF(WINDOWS!$C12="","","! Layer 7")</f>
        <v>! Layer 7</v>
      </c>
      <c r="C55" s="412" t="str">
        <f>IF(WINDOWS!$C41="","",IF(WINDOWS!$AB41="","","   "&amp;IF(WINDOWS!$E41="",WINDOWS!$AA41,WINDOWS!$Z41)&amp;" "&amp;WINDOWS!$AB41&amp;IF(WINDOWS!$AF41="",";",",")))</f>
        <v/>
      </c>
      <c r="D55" s="412" t="str">
        <f>IF(WINDOWS!$C41="","","! Layer 5")</f>
        <v/>
      </c>
    </row>
    <row r="56" spans="1:4">
      <c r="A56" s="412"/>
      <c r="B56" s="412"/>
      <c r="C56" s="412" t="str">
        <f>IF(WINDOWS!$C41="","",IF(WINDOWS!$AF41="","","   "&amp;IF(WINDOWS!$E41="",WINDOWS!$AE41,WINDOWS!$AD41)&amp;" "&amp;WINDOWS!$AF41&amp;IF(WINDOWS!$AJ41="",";",",")))</f>
        <v/>
      </c>
      <c r="D56" s="412" t="str">
        <f>IF(WINDOWS!$C41="","","! Layer 6")</f>
        <v/>
      </c>
    </row>
    <row r="57" spans="1:4">
      <c r="A57" s="412" t="str">
        <f>IF(WINDOWS!$C13="","","Construction")</f>
        <v>Construction</v>
      </c>
      <c r="B57" s="412" t="str">
        <f>IF(WINDOWS!$C13="","",IF(WINDOWS!$D13="","! User defined window construction from spreadheet WINDOWS,","! Based on E+ dataset "&amp;WINDOWS!$E13&amp;". "))</f>
        <v xml:space="preserve">! Based on E+ dataset Dbl Clr Low Iron 3mm/13mm Air. </v>
      </c>
      <c r="C57" s="412" t="str">
        <f>IF(WINDOWS!$C41="","",IF(WINDOWS!$AJ41="","","   "&amp;IF(WINDOWS!$E41="",WINDOWS!$AI41,WINDOWS!$AH41)&amp;" "&amp;WINDOWS!$AJ41&amp;";"))</f>
        <v/>
      </c>
      <c r="D57" s="412" t="str">
        <f>IF(WINDOWS!$C41="","","! Layer 7")</f>
        <v/>
      </c>
    </row>
    <row r="58" spans="1:4">
      <c r="A58" s="412" t="str">
        <f>IF(WINDOWS!$C13="","","    Window Cons. "&amp;WINDOWS!$B13&amp;",")</f>
        <v xml:space="preserve">    Window Cons. 6,</v>
      </c>
      <c r="B58" s="412" t="str">
        <f>IF(WINDOWS!$C13="","","! for Project Cons. Name: "&amp;WINDOWS!$C13)</f>
        <v>! for Project Cons. Name: G6</v>
      </c>
      <c r="C58" s="412"/>
      <c r="D58" s="412"/>
    </row>
    <row r="59" spans="1:4">
      <c r="A59" s="412" t="str">
        <f>IF(WINDOWS!$C13="","",IF(WINDOWS!$L13="","","   "&amp;IF(WINDOWS!$E13="",WINDOWS!$K13,WINDOWS!$J13)&amp;" "&amp;WINDOWS!$L13&amp;IF(WINDOWS!$P13="",";",",")))</f>
        <v xml:space="preserve">    LOW IRON 3MM,</v>
      </c>
      <c r="B59" s="412" t="str">
        <f>IF(WINDOWS!$C13="","","! Layer 1")</f>
        <v>! Layer 1</v>
      </c>
      <c r="C59" s="412" t="str">
        <f>IF(WINDOWS!$C42="","","Construction")</f>
        <v/>
      </c>
      <c r="D59" s="412" t="str">
        <f>IF(WINDOWS!$C42="","",IF(WINDOWS!$D42="","! User defined window construction from spreadheet WINDOWS,","! Based on E+ dataset "&amp;WINDOWS!$E42&amp;". "))</f>
        <v/>
      </c>
    </row>
    <row r="60" spans="1:4">
      <c r="A60" s="412" t="str">
        <f>IF(WINDOWS!$C13="","",IF(WINDOWS!$P13="","","   "&amp;IF(WINDOWS!$E13="",WINDOWS!$O13,WINDOWS!$N13)&amp;" "&amp;WINDOWS!$P13&amp;IF(WINDOWS!$T13="",";",",")))</f>
        <v xml:space="preserve">    AIR 13MM,</v>
      </c>
      <c r="B60" s="412" t="str">
        <f>IF(WINDOWS!$C13="","","! Layer 2")</f>
        <v>! Layer 2</v>
      </c>
      <c r="C60" s="412" t="str">
        <f>IF(WINDOWS!$C42="","","    Window Cons. "&amp;WINDOWS!$B42&amp;",")</f>
        <v/>
      </c>
      <c r="D60" s="412" t="str">
        <f>IF(WINDOWS!$C42="","","! for Project Cons. Name: "&amp;WINDOWS!$C42)</f>
        <v/>
      </c>
    </row>
    <row r="61" spans="1:4">
      <c r="A61" s="412" t="str">
        <f>IF(WINDOWS!$C13="","",IF(WINDOWS!$T13="","","   "&amp;IF(WINDOWS!$E13="",WINDOWS!$S13,WINDOWS!$R13)&amp;" "&amp;WINDOWS!$T13&amp;IF(WINDOWS!$X13="",";",",")))</f>
        <v xml:space="preserve">    LOW IRON 3MM;</v>
      </c>
      <c r="B61" s="412" t="str">
        <f>IF(WINDOWS!$C13="","","! Layer 3")</f>
        <v>! Layer 3</v>
      </c>
      <c r="C61" s="412" t="str">
        <f>IF(WINDOWS!$C42="","",IF(WINDOWS!$L42="","","   "&amp;IF(WINDOWS!$E42="",WINDOWS!$K42,WINDOWS!$J42)&amp;" "&amp;WINDOWS!$L42&amp;IF(WINDOWS!$P42="",";",",")))</f>
        <v/>
      </c>
      <c r="D61" s="412" t="str">
        <f>IF(WINDOWS!$C42="","","! Layer 1")</f>
        <v/>
      </c>
    </row>
    <row r="62" spans="1:4">
      <c r="A62" s="412" t="str">
        <f>IF(WINDOWS!$C13="","",IF(WINDOWS!$X13="","","   "&amp;IF(WINDOWS!$E13="",WINDOWS!$W13,WINDOWS!$V13)&amp;" "&amp;WINDOWS!$X13&amp;IF(WINDOWS!$AB13="",";",",")))</f>
        <v/>
      </c>
      <c r="B62" s="412" t="str">
        <f>IF(WINDOWS!$C13="","","! Layer 4")</f>
        <v>! Layer 4</v>
      </c>
      <c r="C62" s="412" t="str">
        <f>IF(WINDOWS!$C42="","",IF(WINDOWS!$P42="","","   "&amp;IF(WINDOWS!$E42="",WINDOWS!$O42,WINDOWS!$N42)&amp;" "&amp;WINDOWS!$P42&amp;IF(WINDOWS!$T42="",";",",")))</f>
        <v/>
      </c>
      <c r="D62" s="412" t="str">
        <f>IF(WINDOWS!$C42="","","! Layer 2")</f>
        <v/>
      </c>
    </row>
    <row r="63" spans="1:4">
      <c r="A63" s="412" t="str">
        <f>IF(WINDOWS!$C13="","",IF(WINDOWS!$AB13="","","   "&amp;IF(WINDOWS!$E13="",WINDOWS!$AA13,WINDOWS!$Z13)&amp;" "&amp;WINDOWS!$AB13&amp;IF(WINDOWS!$AF13="",";",",")))</f>
        <v/>
      </c>
      <c r="B63" s="412" t="str">
        <f>IF(WINDOWS!$C13="","","! Layer 5")</f>
        <v>! Layer 5</v>
      </c>
      <c r="C63" s="412" t="str">
        <f>IF(WINDOWS!$C42="","",IF(WINDOWS!$T42="","","   "&amp;IF(WINDOWS!$E42="",WINDOWS!$S42,WINDOWS!$R42)&amp;" "&amp;WINDOWS!$T42&amp;IF(WINDOWS!$X42="",";",",")))</f>
        <v/>
      </c>
      <c r="D63" s="412" t="str">
        <f>IF(WINDOWS!$C42="","","! Layer 3")</f>
        <v/>
      </c>
    </row>
    <row r="64" spans="1:4">
      <c r="A64" s="412" t="str">
        <f>IF(WINDOWS!$C13="","",IF(WINDOWS!$AF13="","","   "&amp;IF(WINDOWS!$E13="",WINDOWS!$AE13,WINDOWS!$AD13)&amp;" "&amp;WINDOWS!$AF13&amp;IF(WINDOWS!$AJ13="",";",",")))</f>
        <v/>
      </c>
      <c r="B64" s="412" t="str">
        <f>IF(WINDOWS!$C13="","","! Layer 6")</f>
        <v>! Layer 6</v>
      </c>
      <c r="C64" s="412" t="str">
        <f>IF(WINDOWS!$C42="","",IF(WINDOWS!$X42="","","   "&amp;IF(WINDOWS!$E42="",WINDOWS!$W42,WINDOWS!$V42)&amp;" "&amp;WINDOWS!$X42&amp;IF(WINDOWS!$AB42="",";",",")))</f>
        <v/>
      </c>
      <c r="D64" s="412" t="str">
        <f>IF(WINDOWS!$C42="","","! Layer 4")</f>
        <v/>
      </c>
    </row>
    <row r="65" spans="1:4">
      <c r="A65" s="412" t="str">
        <f>IF(WINDOWS!$C13="","",IF(WINDOWS!$AJ13="","","   "&amp;IF(WINDOWS!$E13="",WINDOWS!$AI13,WINDOWS!$AH13)&amp;" "&amp;WINDOWS!$AJ13&amp;";"))</f>
        <v/>
      </c>
      <c r="B65" s="412" t="str">
        <f>IF(WINDOWS!$C13="","","! Layer 7")</f>
        <v>! Layer 7</v>
      </c>
      <c r="C65" s="412" t="str">
        <f>IF(WINDOWS!$C42="","",IF(WINDOWS!$AB42="","","   "&amp;IF(WINDOWS!$E42="",WINDOWS!$AA42,WINDOWS!$Z42)&amp;" "&amp;WINDOWS!$AB42&amp;IF(WINDOWS!$AF42="",";",",")))</f>
        <v/>
      </c>
      <c r="D65" s="412" t="str">
        <f>IF(WINDOWS!$C42="","","! Layer 5")</f>
        <v/>
      </c>
    </row>
    <row r="66" spans="1:4">
      <c r="A66" s="412"/>
      <c r="B66" s="412"/>
      <c r="C66" s="412" t="str">
        <f>IF(WINDOWS!$C42="","",IF(WINDOWS!$AF42="","","   "&amp;IF(WINDOWS!$E42="",WINDOWS!$AE42,WINDOWS!$AD42)&amp;" "&amp;WINDOWS!$AF42&amp;IF(WINDOWS!$AJ42="",";",",")))</f>
        <v/>
      </c>
      <c r="D66" s="412" t="str">
        <f>IF(WINDOWS!$C42="","","! Layer 6")</f>
        <v/>
      </c>
    </row>
    <row r="67" spans="1:4">
      <c r="A67" s="412" t="str">
        <f>IF(WINDOWS!$C14="","","Construction")</f>
        <v>Construction</v>
      </c>
      <c r="B67" s="412" t="str">
        <f>IF(WINDOWS!$C14="","",IF(WINDOWS!$D14="","! User defined window construction from spreadheet WINDOWS,","! Based on E+ dataset "&amp;WINDOWS!$E14&amp;". "))</f>
        <v xml:space="preserve">! Based on E+ dataset Dbl Bronze 6mm/13mm Arg. </v>
      </c>
      <c r="C67" s="412" t="str">
        <f>IF(WINDOWS!$C42="","",IF(WINDOWS!$AJ42="","","   "&amp;IF(WINDOWS!$E42="",WINDOWS!$AI42,WINDOWS!$AH42)&amp;" "&amp;WINDOWS!$AJ42&amp;";"))</f>
        <v/>
      </c>
      <c r="D67" s="412" t="str">
        <f>IF(WINDOWS!$C42="","","! Layer 7")</f>
        <v/>
      </c>
    </row>
    <row r="68" spans="1:4">
      <c r="A68" s="412" t="str">
        <f>IF(WINDOWS!$C14="","","    Window Cons. "&amp;WINDOWS!$B14&amp;",")</f>
        <v xml:space="preserve">    Window Cons. 7,</v>
      </c>
      <c r="B68" s="412" t="str">
        <f>IF(WINDOWS!$C14="","","! for Project Cons. Name: "&amp;WINDOWS!$C14)</f>
        <v>! for Project Cons. Name: G7</v>
      </c>
      <c r="C68" s="412"/>
      <c r="D68" s="412"/>
    </row>
    <row r="69" spans="1:4">
      <c r="A69" s="412" t="str">
        <f>IF(WINDOWS!$C14="","",IF(WINDOWS!$L14="","","   "&amp;IF(WINDOWS!$E14="",WINDOWS!$K14,WINDOWS!$J14)&amp;" "&amp;WINDOWS!$L14&amp;IF(WINDOWS!$P14="",";",",")))</f>
        <v xml:space="preserve">    BRONZE 6MM,</v>
      </c>
      <c r="B69" s="412" t="str">
        <f>IF(WINDOWS!$C14="","","! Layer 1")</f>
        <v>! Layer 1</v>
      </c>
      <c r="C69" s="412" t="str">
        <f>IF(WINDOWS!$C43="","","Construction")</f>
        <v/>
      </c>
      <c r="D69" s="412" t="str">
        <f>IF(WINDOWS!$C43="","",IF(WINDOWS!$D43="","! User defined window construction from spreadheet WINDOWS,","! Based on E+ dataset "&amp;WINDOWS!$E43&amp;". "))</f>
        <v/>
      </c>
    </row>
    <row r="70" spans="1:4">
      <c r="A70" s="412" t="str">
        <f>IF(WINDOWS!$C14="","",IF(WINDOWS!$P14="","","   "&amp;IF(WINDOWS!$E14="",WINDOWS!$O14,WINDOWS!$N14)&amp;" "&amp;WINDOWS!$P14&amp;IF(WINDOWS!$T14="",";",",")))</f>
        <v xml:space="preserve">    ARGON 13MM,</v>
      </c>
      <c r="B70" s="412" t="str">
        <f>IF(WINDOWS!$C14="","","! Layer 2")</f>
        <v>! Layer 2</v>
      </c>
      <c r="C70" s="412" t="str">
        <f>IF(WINDOWS!$C43="","","    Window Cons. "&amp;WINDOWS!$B43&amp;",")</f>
        <v/>
      </c>
      <c r="D70" s="412" t="str">
        <f>IF(WINDOWS!$C43="","","! for Project Cons. Name: "&amp;WINDOWS!$C43)</f>
        <v/>
      </c>
    </row>
    <row r="71" spans="1:4">
      <c r="A71" s="412" t="str">
        <f>IF(WINDOWS!$C14="","",IF(WINDOWS!$T14="","","   "&amp;IF(WINDOWS!$E14="",WINDOWS!$S14,WINDOWS!$R14)&amp;" "&amp;WINDOWS!$T14&amp;IF(WINDOWS!$X14="",";",",")))</f>
        <v xml:space="preserve">    CLEAR 6MM;</v>
      </c>
      <c r="B71" s="412" t="str">
        <f>IF(WINDOWS!$C14="","","! Layer 3")</f>
        <v>! Layer 3</v>
      </c>
      <c r="C71" s="412" t="str">
        <f>IF(WINDOWS!$C43="","",IF(WINDOWS!$L43="","","   "&amp;IF(WINDOWS!$E43="",WINDOWS!$K43,WINDOWS!$J43)&amp;" "&amp;WINDOWS!$L43&amp;IF(WINDOWS!$P43="",";",",")))</f>
        <v/>
      </c>
      <c r="D71" s="412" t="str">
        <f>IF(WINDOWS!$C43="","","! Layer 1")</f>
        <v/>
      </c>
    </row>
    <row r="72" spans="1:4">
      <c r="A72" s="412" t="str">
        <f>IF(WINDOWS!$C14="","",IF(WINDOWS!$X14="","","   "&amp;IF(WINDOWS!$E14="",WINDOWS!$W14,WINDOWS!$V14)&amp;" "&amp;WINDOWS!$X14&amp;IF(WINDOWS!$AB14="",";",",")))</f>
        <v/>
      </c>
      <c r="B72" s="412" t="str">
        <f>IF(WINDOWS!$C14="","","! Layer 4")</f>
        <v>! Layer 4</v>
      </c>
      <c r="C72" s="412" t="str">
        <f>IF(WINDOWS!$C43="","",IF(WINDOWS!$P43="","","   "&amp;IF(WINDOWS!$E43="",WINDOWS!$O43,WINDOWS!$N43)&amp;" "&amp;WINDOWS!$P43&amp;IF(WINDOWS!$T43="",";",",")))</f>
        <v/>
      </c>
      <c r="D72" s="412" t="str">
        <f>IF(WINDOWS!$C43="","","! Layer 2")</f>
        <v/>
      </c>
    </row>
    <row r="73" spans="1:4">
      <c r="A73" s="412" t="str">
        <f>IF(WINDOWS!$C14="","",IF(WINDOWS!$AB14="","","   "&amp;IF(WINDOWS!$E14="",WINDOWS!$AA14,WINDOWS!$Z14)&amp;" "&amp;WINDOWS!$AB14&amp;IF(WINDOWS!$AF14="",";",",")))</f>
        <v/>
      </c>
      <c r="B73" s="412" t="str">
        <f>IF(WINDOWS!$C14="","","! Layer 5")</f>
        <v>! Layer 5</v>
      </c>
      <c r="C73" s="412" t="str">
        <f>IF(WINDOWS!$C43="","",IF(WINDOWS!$T43="","","   "&amp;IF(WINDOWS!$E43="",WINDOWS!$S43,WINDOWS!$R43)&amp;" "&amp;WINDOWS!$T43&amp;IF(WINDOWS!$X43="",";",",")))</f>
        <v/>
      </c>
      <c r="D73" s="412" t="str">
        <f>IF(WINDOWS!$C43="","","! Layer 3")</f>
        <v/>
      </c>
    </row>
    <row r="74" spans="1:4">
      <c r="A74" s="412" t="str">
        <f>IF(WINDOWS!$C14="","",IF(WINDOWS!$AF14="","","   "&amp;IF(WINDOWS!$E14="",WINDOWS!$AE14,WINDOWS!$AD14)&amp;" "&amp;WINDOWS!$AF14&amp;IF(WINDOWS!$AJ14="",";",",")))</f>
        <v/>
      </c>
      <c r="B74" s="412" t="str">
        <f>IF(WINDOWS!$C14="","","! Layer 6")</f>
        <v>! Layer 6</v>
      </c>
      <c r="C74" s="412" t="str">
        <f>IF(WINDOWS!$C43="","",IF(WINDOWS!$X43="","","   "&amp;IF(WINDOWS!$E43="",WINDOWS!$W43,WINDOWS!$V43)&amp;" "&amp;WINDOWS!$X43&amp;IF(WINDOWS!$AB43="",";",",")))</f>
        <v/>
      </c>
      <c r="D74" s="412" t="str">
        <f>IF(WINDOWS!$C43="","","! Layer 4")</f>
        <v/>
      </c>
    </row>
    <row r="75" spans="1:4">
      <c r="A75" s="412" t="str">
        <f>IF(WINDOWS!$C14="","",IF(WINDOWS!$AJ14="","","   "&amp;IF(WINDOWS!$E14="",WINDOWS!$AI14,WINDOWS!$AH14)&amp;" "&amp;WINDOWS!$AJ14&amp;";"))</f>
        <v/>
      </c>
      <c r="B75" s="412" t="str">
        <f>IF(WINDOWS!$C14="","","! Layer 7")</f>
        <v>! Layer 7</v>
      </c>
      <c r="C75" s="412" t="str">
        <f>IF(WINDOWS!$C43="","",IF(WINDOWS!$AB43="","","   "&amp;IF(WINDOWS!$E43="",WINDOWS!$AA43,WINDOWS!$Z43)&amp;" "&amp;WINDOWS!$AB43&amp;IF(WINDOWS!$AF43="",";",",")))</f>
        <v/>
      </c>
      <c r="D75" s="412" t="str">
        <f>IF(WINDOWS!$C43="","","! Layer 5")</f>
        <v/>
      </c>
    </row>
    <row r="76" spans="1:4">
      <c r="A76" s="412"/>
      <c r="B76" s="412"/>
      <c r="C76" s="412" t="str">
        <f>IF(WINDOWS!$C43="","",IF(WINDOWS!$AF43="","","   "&amp;IF(WINDOWS!$E43="",WINDOWS!$AE43,WINDOWS!$AD43)&amp;" "&amp;WINDOWS!$AF43&amp;IF(WINDOWS!$AJ43="",";",",")))</f>
        <v/>
      </c>
      <c r="D76" s="412" t="str">
        <f>IF(WINDOWS!$C43="","","! Layer 6")</f>
        <v/>
      </c>
    </row>
    <row r="77" spans="1:4">
      <c r="A77" s="412" t="str">
        <f>IF(WINDOWS!$C15="","","Construction")</f>
        <v>Construction</v>
      </c>
      <c r="B77" s="412" t="str">
        <f>IF(WINDOWS!$C15="","",IF(WINDOWS!$D15="","! User defined window construction from spreadheet WINDOWS,","! Based on E+ dataset "&amp;WINDOWS!$E15&amp;". "))</f>
        <v xml:space="preserve">! Based on E+ dataset Dbl Grey 6mm/6mm Air. </v>
      </c>
      <c r="C77" s="412" t="str">
        <f>IF(WINDOWS!$C43="","",IF(WINDOWS!$AJ43="","","   "&amp;IF(WINDOWS!$E43="",WINDOWS!$AI43,WINDOWS!$AH43)&amp;" "&amp;WINDOWS!$AJ43&amp;";"))</f>
        <v/>
      </c>
      <c r="D77" s="412" t="str">
        <f>IF(WINDOWS!$C43="","","! Layer 7")</f>
        <v/>
      </c>
    </row>
    <row r="78" spans="1:4">
      <c r="A78" s="412" t="str">
        <f>IF(WINDOWS!$C15="","","    Window Cons. "&amp;WINDOWS!$B15&amp;",")</f>
        <v xml:space="preserve">    Window Cons. 8,</v>
      </c>
      <c r="B78" s="412" t="str">
        <f>IF(WINDOWS!$C15="","","! for Project Cons. Name: "&amp;WINDOWS!$C15)</f>
        <v>! for Project Cons. Name: G8</v>
      </c>
      <c r="C78" s="412"/>
      <c r="D78" s="412"/>
    </row>
    <row r="79" spans="1:4">
      <c r="A79" s="412" t="str">
        <f>IF(WINDOWS!$C15="","",IF(WINDOWS!$L15="","","   "&amp;IF(WINDOWS!$E15="",WINDOWS!$K15,WINDOWS!$J15)&amp;" "&amp;WINDOWS!$L15&amp;IF(WINDOWS!$P15="",";",",")))</f>
        <v xml:space="preserve">    GREY 6MM,</v>
      </c>
      <c r="B79" s="412" t="str">
        <f>IF(WINDOWS!$C15="","","! Layer 1")</f>
        <v>! Layer 1</v>
      </c>
      <c r="C79" s="412" t="str">
        <f>IF(WINDOWS!$C44="","","Construction")</f>
        <v/>
      </c>
      <c r="D79" s="412" t="str">
        <f>IF(WINDOWS!$C44="","",IF(WINDOWS!$D44="","! User defined window construction from spreadheet WINDOWS,","! Based on E+ dataset "&amp;WINDOWS!$E44&amp;". "))</f>
        <v/>
      </c>
    </row>
    <row r="80" spans="1:4">
      <c r="A80" s="412" t="str">
        <f>IF(WINDOWS!$C15="","",IF(WINDOWS!$P15="","","   "&amp;IF(WINDOWS!$E15="",WINDOWS!$O15,WINDOWS!$N15)&amp;" "&amp;WINDOWS!$P15&amp;IF(WINDOWS!$T15="",";",",")))</f>
        <v xml:space="preserve">    AIR 6MM,</v>
      </c>
      <c r="B80" s="412" t="str">
        <f>IF(WINDOWS!$C15="","","! Layer 2")</f>
        <v>! Layer 2</v>
      </c>
      <c r="C80" s="412" t="str">
        <f>IF(WINDOWS!$C44="","","    Window Cons. "&amp;WINDOWS!$B44&amp;",")</f>
        <v/>
      </c>
      <c r="D80" s="412" t="str">
        <f>IF(WINDOWS!$C44="","","! for Project Cons. Name: "&amp;WINDOWS!$C44)</f>
        <v/>
      </c>
    </row>
    <row r="81" spans="1:4">
      <c r="A81" s="412" t="str">
        <f>IF(WINDOWS!$C15="","",IF(WINDOWS!$T15="","","   "&amp;IF(WINDOWS!$E15="",WINDOWS!$S15,WINDOWS!$R15)&amp;" "&amp;WINDOWS!$T15&amp;IF(WINDOWS!$X15="",";",",")))</f>
        <v xml:space="preserve">    CLEAR 6MM;</v>
      </c>
      <c r="B81" s="412" t="str">
        <f>IF(WINDOWS!$C15="","","! Layer 3")</f>
        <v>! Layer 3</v>
      </c>
      <c r="C81" s="412" t="str">
        <f>IF(WINDOWS!$C44="","",IF(WINDOWS!$L44="","","   "&amp;IF(WINDOWS!$E44="",WINDOWS!$K44,WINDOWS!$J44)&amp;" "&amp;WINDOWS!$L44&amp;IF(WINDOWS!$P44="",";",",")))</f>
        <v/>
      </c>
      <c r="D81" s="412" t="str">
        <f>IF(WINDOWS!$C44="","","! Layer 1")</f>
        <v/>
      </c>
    </row>
    <row r="82" spans="1:4">
      <c r="A82" s="412" t="str">
        <f>IF(WINDOWS!$C15="","",IF(WINDOWS!$X15="","","   "&amp;IF(WINDOWS!$E15="",WINDOWS!$W15,WINDOWS!$V15)&amp;" "&amp;WINDOWS!$X15&amp;IF(WINDOWS!$AB15="",";",",")))</f>
        <v/>
      </c>
      <c r="B82" s="412" t="str">
        <f>IF(WINDOWS!$C15="","","! Layer 4")</f>
        <v>! Layer 4</v>
      </c>
      <c r="C82" s="412" t="str">
        <f>IF(WINDOWS!$C44="","",IF(WINDOWS!$P44="","","   "&amp;IF(WINDOWS!$E44="",WINDOWS!$O44,WINDOWS!$N44)&amp;" "&amp;WINDOWS!$P44&amp;IF(WINDOWS!$T44="",";",",")))</f>
        <v/>
      </c>
      <c r="D82" s="412" t="str">
        <f>IF(WINDOWS!$C44="","","! Layer 2")</f>
        <v/>
      </c>
    </row>
    <row r="83" spans="1:4">
      <c r="A83" s="412" t="str">
        <f>IF(WINDOWS!$C15="","",IF(WINDOWS!$AB15="","","   "&amp;IF(WINDOWS!$E15="",WINDOWS!$AA15,WINDOWS!$Z15)&amp;" "&amp;WINDOWS!$AB15&amp;IF(WINDOWS!$AF15="",";",",")))</f>
        <v/>
      </c>
      <c r="B83" s="412" t="str">
        <f>IF(WINDOWS!$C15="","","! Layer 5")</f>
        <v>! Layer 5</v>
      </c>
      <c r="C83" s="412" t="str">
        <f>IF(WINDOWS!$C44="","",IF(WINDOWS!$T44="","","   "&amp;IF(WINDOWS!$E44="",WINDOWS!$S44,WINDOWS!$R44)&amp;" "&amp;WINDOWS!$T44&amp;IF(WINDOWS!$X44="",";",",")))</f>
        <v/>
      </c>
      <c r="D83" s="412" t="str">
        <f>IF(WINDOWS!$C44="","","! Layer 3")</f>
        <v/>
      </c>
    </row>
    <row r="84" spans="1:4">
      <c r="A84" s="412" t="str">
        <f>IF(WINDOWS!$C15="","",IF(WINDOWS!$AF15="","","   "&amp;IF(WINDOWS!$E15="",WINDOWS!$AE15,WINDOWS!$AD15)&amp;" "&amp;WINDOWS!$AF15&amp;IF(WINDOWS!$AJ15="",";",",")))</f>
        <v/>
      </c>
      <c r="B84" s="412" t="str">
        <f>IF(WINDOWS!$C15="","","! Layer 6")</f>
        <v>! Layer 6</v>
      </c>
      <c r="C84" s="412" t="str">
        <f>IF(WINDOWS!$C44="","",IF(WINDOWS!$X44="","","   "&amp;IF(WINDOWS!$E44="",WINDOWS!$W44,WINDOWS!$V44)&amp;" "&amp;WINDOWS!$X44&amp;IF(WINDOWS!$AB44="",";",",")))</f>
        <v/>
      </c>
      <c r="D84" s="412" t="str">
        <f>IF(WINDOWS!$C44="","","! Layer 4")</f>
        <v/>
      </c>
    </row>
    <row r="85" spans="1:4">
      <c r="A85" s="412" t="str">
        <f>IF(WINDOWS!$C15="","",IF(WINDOWS!$AJ15="","","   "&amp;IF(WINDOWS!$E15="",WINDOWS!$AI15,WINDOWS!$AH15)&amp;" "&amp;WINDOWS!$AJ15&amp;";"))</f>
        <v/>
      </c>
      <c r="B85" s="412" t="str">
        <f>IF(WINDOWS!$C15="","","! Layer 7")</f>
        <v>! Layer 7</v>
      </c>
      <c r="C85" s="412" t="str">
        <f>IF(WINDOWS!$C44="","",IF(WINDOWS!$AB44="","","   "&amp;IF(WINDOWS!$E44="",WINDOWS!$AA44,WINDOWS!$Z44)&amp;" "&amp;WINDOWS!$AB44&amp;IF(WINDOWS!$AF44="",";",",")))</f>
        <v/>
      </c>
      <c r="D85" s="412" t="str">
        <f>IF(WINDOWS!$C44="","","! Layer 5")</f>
        <v/>
      </c>
    </row>
    <row r="86" spans="1:4">
      <c r="A86" s="412"/>
      <c r="B86" s="412"/>
      <c r="C86" s="412" t="str">
        <f>IF(WINDOWS!$C44="","",IF(WINDOWS!$AF44="","","   "&amp;IF(WINDOWS!$E44="",WINDOWS!$AE44,WINDOWS!$AD44)&amp;" "&amp;WINDOWS!$AF44&amp;IF(WINDOWS!$AJ44="",";",",")))</f>
        <v/>
      </c>
      <c r="D86" s="412" t="str">
        <f>IF(WINDOWS!$C44="","","! Layer 6")</f>
        <v/>
      </c>
    </row>
    <row r="87" spans="1:4">
      <c r="A87" s="412" t="str">
        <f>IF(WINDOWS!$C16="","","Construction")</f>
        <v>Construction</v>
      </c>
      <c r="B87" s="412" t="str">
        <f>IF(WINDOWS!$C16="","",IF(WINDOWS!$D16="","! User defined window construction from spreadheet WINDOWS,","! Based on E+ dataset "&amp;WINDOWS!$E16&amp;". "))</f>
        <v xml:space="preserve">! Based on E+ dataset Dbl Ref-A-M Clr 6mm/13mm Air. </v>
      </c>
      <c r="C87" s="412" t="str">
        <f>IF(WINDOWS!$C44="","",IF(WINDOWS!$AJ44="","","   "&amp;IF(WINDOWS!$E44="",WINDOWS!$AI44,WINDOWS!$AH44)&amp;" "&amp;WINDOWS!$AJ44&amp;";"))</f>
        <v/>
      </c>
      <c r="D87" s="412" t="str">
        <f>IF(WINDOWS!$C44="","","! Layer 7")</f>
        <v/>
      </c>
    </row>
    <row r="88" spans="1:4">
      <c r="A88" s="412" t="str">
        <f>IF(WINDOWS!$C16="","","    Window Cons. "&amp;WINDOWS!$B16&amp;",")</f>
        <v xml:space="preserve">    Window Cons. 9,</v>
      </c>
      <c r="B88" s="412" t="str">
        <f>IF(WINDOWS!$C16="","","! for Project Cons. Name: "&amp;WINDOWS!$C16)</f>
        <v>! for Project Cons. Name: G9</v>
      </c>
      <c r="C88" s="412"/>
      <c r="D88" s="412"/>
    </row>
    <row r="89" spans="1:4">
      <c r="A89" s="412" t="str">
        <f>IF(WINDOWS!$C16="","",IF(WINDOWS!$L16="","","   "&amp;IF(WINDOWS!$E16="",WINDOWS!$K16,WINDOWS!$J16)&amp;" "&amp;WINDOWS!$L16&amp;IF(WINDOWS!$P16="",";",",")))</f>
        <v xml:space="preserve">    REF A CLEAR MID 6MM,</v>
      </c>
      <c r="B89" s="412" t="str">
        <f>IF(WINDOWS!$C16="","","! Layer 1")</f>
        <v>! Layer 1</v>
      </c>
      <c r="C89" s="412" t="str">
        <f>IF(WINDOWS!$C45="","","Construction")</f>
        <v/>
      </c>
      <c r="D89" s="412" t="str">
        <f>IF(WINDOWS!$C45="","",IF(WINDOWS!$D45="","! User defined window construction from spreadheet WINDOWS,","! Based on E+ dataset "&amp;WINDOWS!$E45&amp;". "))</f>
        <v/>
      </c>
    </row>
    <row r="90" spans="1:4">
      <c r="A90" s="412" t="str">
        <f>IF(WINDOWS!$C16="","",IF(WINDOWS!$P16="","","   "&amp;IF(WINDOWS!$E16="",WINDOWS!$O16,WINDOWS!$N16)&amp;" "&amp;WINDOWS!$P16&amp;IF(WINDOWS!$T16="",";",",")))</f>
        <v xml:space="preserve">    AIR 13MM,</v>
      </c>
      <c r="B90" s="412" t="str">
        <f>IF(WINDOWS!$C16="","","! Layer 2")</f>
        <v>! Layer 2</v>
      </c>
      <c r="C90" s="412" t="str">
        <f>IF(WINDOWS!$C45="","","    Window Cons. "&amp;WINDOWS!$B45&amp;",")</f>
        <v/>
      </c>
      <c r="D90" s="412" t="str">
        <f>IF(WINDOWS!$C45="","","! for Project Cons. Name: "&amp;WINDOWS!$C45)</f>
        <v/>
      </c>
    </row>
    <row r="91" spans="1:4">
      <c r="A91" s="412" t="str">
        <f>IF(WINDOWS!$C16="","",IF(WINDOWS!$T16="","","   "&amp;IF(WINDOWS!$E16="",WINDOWS!$S16,WINDOWS!$R16)&amp;" "&amp;WINDOWS!$T16&amp;IF(WINDOWS!$X16="",";",",")))</f>
        <v xml:space="preserve">    CLEAR 6MM;</v>
      </c>
      <c r="B91" s="412" t="str">
        <f>IF(WINDOWS!$C16="","","! Layer 3")</f>
        <v>! Layer 3</v>
      </c>
      <c r="C91" s="412" t="str">
        <f>IF(WINDOWS!$C45="","",IF(WINDOWS!$L45="","","   "&amp;IF(WINDOWS!$E45="",WINDOWS!$K45,WINDOWS!$J45)&amp;" "&amp;WINDOWS!$L45&amp;IF(WINDOWS!$P45="",";",",")))</f>
        <v/>
      </c>
      <c r="D91" s="412" t="str">
        <f>IF(WINDOWS!$C45="","","! Layer 1")</f>
        <v/>
      </c>
    </row>
    <row r="92" spans="1:4">
      <c r="A92" s="412" t="str">
        <f>IF(WINDOWS!$C16="","",IF(WINDOWS!$X16="","","   "&amp;IF(WINDOWS!$E16="",WINDOWS!$W16,WINDOWS!$V16)&amp;" "&amp;WINDOWS!$X16&amp;IF(WINDOWS!$AB16="",";",",")))</f>
        <v/>
      </c>
      <c r="B92" s="412" t="str">
        <f>IF(WINDOWS!$C16="","","! Layer 4")</f>
        <v>! Layer 4</v>
      </c>
      <c r="C92" s="412" t="str">
        <f>IF(WINDOWS!$C45="","",IF(WINDOWS!$P45="","","   "&amp;IF(WINDOWS!$E45="",WINDOWS!$O45,WINDOWS!$N45)&amp;" "&amp;WINDOWS!$P45&amp;IF(WINDOWS!$T45="",";",",")))</f>
        <v/>
      </c>
      <c r="D92" s="412" t="str">
        <f>IF(WINDOWS!$C45="","","! Layer 2")</f>
        <v/>
      </c>
    </row>
    <row r="93" spans="1:4">
      <c r="A93" s="412" t="str">
        <f>IF(WINDOWS!$C16="","",IF(WINDOWS!$AB16="","","   "&amp;IF(WINDOWS!$E16="",WINDOWS!$AA16,WINDOWS!$Z16)&amp;" "&amp;WINDOWS!$AB16&amp;IF(WINDOWS!$AF16="",";",",")))</f>
        <v/>
      </c>
      <c r="B93" s="412" t="str">
        <f>IF(WINDOWS!$C16="","","! Layer 5")</f>
        <v>! Layer 5</v>
      </c>
      <c r="C93" s="412" t="str">
        <f>IF(WINDOWS!$C45="","",IF(WINDOWS!$T45="","","   "&amp;IF(WINDOWS!$E45="",WINDOWS!$S45,WINDOWS!$R45)&amp;" "&amp;WINDOWS!$T45&amp;IF(WINDOWS!$X45="",";",",")))</f>
        <v/>
      </c>
      <c r="D93" s="412" t="str">
        <f>IF(WINDOWS!$C45="","","! Layer 3")</f>
        <v/>
      </c>
    </row>
    <row r="94" spans="1:4">
      <c r="A94" s="412" t="str">
        <f>IF(WINDOWS!$C16="","",IF(WINDOWS!$AF16="","","   "&amp;IF(WINDOWS!$E16="",WINDOWS!$AE16,WINDOWS!$AD16)&amp;" "&amp;WINDOWS!$AF16&amp;IF(WINDOWS!$AJ16="",";",",")))</f>
        <v/>
      </c>
      <c r="B94" s="412" t="str">
        <f>IF(WINDOWS!$C16="","","! Layer 6")</f>
        <v>! Layer 6</v>
      </c>
      <c r="C94" s="412" t="str">
        <f>IF(WINDOWS!$C45="","",IF(WINDOWS!$X45="","","   "&amp;IF(WINDOWS!$E45="",WINDOWS!$W45,WINDOWS!$V45)&amp;" "&amp;WINDOWS!$X45&amp;IF(WINDOWS!$AB45="",";",",")))</f>
        <v/>
      </c>
      <c r="D94" s="412" t="str">
        <f>IF(WINDOWS!$C45="","","! Layer 4")</f>
        <v/>
      </c>
    </row>
    <row r="95" spans="1:4">
      <c r="A95" s="412" t="str">
        <f>IF(WINDOWS!$C16="","",IF(WINDOWS!$AJ16="","","   "&amp;IF(WINDOWS!$E16="",WINDOWS!$AI16,WINDOWS!$AH16)&amp;" "&amp;WINDOWS!$AJ16&amp;";"))</f>
        <v/>
      </c>
      <c r="B95" s="412" t="str">
        <f>IF(WINDOWS!$C16="","","! Layer 7")</f>
        <v>! Layer 7</v>
      </c>
      <c r="C95" s="412" t="str">
        <f>IF(WINDOWS!$C45="","",IF(WINDOWS!$AB45="","","   "&amp;IF(WINDOWS!$E45="",WINDOWS!$AA45,WINDOWS!$Z45)&amp;" "&amp;WINDOWS!$AB45&amp;IF(WINDOWS!$AF45="",";",",")))</f>
        <v/>
      </c>
      <c r="D95" s="412" t="str">
        <f>IF(WINDOWS!$C45="","","! Layer 5")</f>
        <v/>
      </c>
    </row>
    <row r="96" spans="1:4">
      <c r="A96" s="412"/>
      <c r="B96" s="412"/>
      <c r="C96" s="412" t="str">
        <f>IF(WINDOWS!$C45="","",IF(WINDOWS!$AF45="","","   "&amp;IF(WINDOWS!$E45="",WINDOWS!$AE45,WINDOWS!$AD45)&amp;" "&amp;WINDOWS!$AF45&amp;IF(WINDOWS!$AJ45="",";",",")))</f>
        <v/>
      </c>
      <c r="D96" s="412" t="str">
        <f>IF(WINDOWS!$C45="","","! Layer 6")</f>
        <v/>
      </c>
    </row>
    <row r="97" spans="1:4">
      <c r="A97" s="412" t="str">
        <f>IF(WINDOWS!$C17="","","Construction")</f>
        <v>Construction</v>
      </c>
      <c r="B97" s="412" t="str">
        <f>IF(WINDOWS!$C17="","",IF(WINDOWS!$D17="","! User defined window construction from spreadheet WINDOWS,","! Based on E+ dataset "&amp;WINDOWS!$E17&amp;". "))</f>
        <v xml:space="preserve">! Based on E+ dataset Dbl Ref-A-M Tint 6mm/13mm Arg. </v>
      </c>
      <c r="C97" s="412" t="str">
        <f>IF(WINDOWS!$C45="","",IF(WINDOWS!$AJ45="","","   "&amp;IF(WINDOWS!$E45="",WINDOWS!$AI45,WINDOWS!$AH45)&amp;" "&amp;WINDOWS!$AJ45&amp;";"))</f>
        <v/>
      </c>
      <c r="D97" s="412" t="str">
        <f>IF(WINDOWS!$C45="","","! Layer 7")</f>
        <v/>
      </c>
    </row>
    <row r="98" spans="1:4">
      <c r="A98" s="412" t="str">
        <f>IF(WINDOWS!$C17="","","    Window Cons. "&amp;WINDOWS!$B17&amp;",")</f>
        <v xml:space="preserve">    Window Cons. 10,</v>
      </c>
      <c r="B98" s="412" t="str">
        <f>IF(WINDOWS!$C17="","","! for Project Cons. Name: "&amp;WINDOWS!$C17)</f>
        <v>! for Project Cons. Name: G10</v>
      </c>
      <c r="C98" s="412"/>
      <c r="D98" s="412"/>
    </row>
    <row r="99" spans="1:4">
      <c r="A99" s="412" t="str">
        <f>IF(WINDOWS!$C17="","",IF(WINDOWS!$L17="","","   "&amp;IF(WINDOWS!$E17="",WINDOWS!$K17,WINDOWS!$J17)&amp;" "&amp;WINDOWS!$L17&amp;IF(WINDOWS!$P17="",";",",")))</f>
        <v xml:space="preserve">    REF A TINT MID 6MM,</v>
      </c>
      <c r="B99" s="412" t="str">
        <f>IF(WINDOWS!$C17="","","! Layer 1")</f>
        <v>! Layer 1</v>
      </c>
      <c r="C99" s="412" t="str">
        <f>IF(WINDOWS!$C46="","","Construction")</f>
        <v/>
      </c>
      <c r="D99" s="412" t="str">
        <f>IF(WINDOWS!$C46="","",IF(WINDOWS!$D46="","! User defined window construction from spreadheet WINDOWS,","! Based on E+ dataset "&amp;WINDOWS!$E46&amp;". "))</f>
        <v/>
      </c>
    </row>
    <row r="100" spans="1:4">
      <c r="A100" s="412" t="str">
        <f>IF(WINDOWS!$C17="","",IF(WINDOWS!$P17="","","   "&amp;IF(WINDOWS!$E17="",WINDOWS!$O17,WINDOWS!$N17)&amp;" "&amp;WINDOWS!$P17&amp;IF(WINDOWS!$T17="",";",",")))</f>
        <v xml:space="preserve">    ARGON 13MM,</v>
      </c>
      <c r="B100" s="412" t="str">
        <f>IF(WINDOWS!$C17="","","! Layer 2")</f>
        <v>! Layer 2</v>
      </c>
      <c r="C100" s="412" t="str">
        <f>IF(WINDOWS!$C46="","","    Window Cons. "&amp;WINDOWS!$B46&amp;",")</f>
        <v/>
      </c>
      <c r="D100" s="412" t="str">
        <f>IF(WINDOWS!$C46="","","! for Project Cons. Name: "&amp;WINDOWS!$C46)</f>
        <v/>
      </c>
    </row>
    <row r="101" spans="1:4">
      <c r="A101" s="412" t="str">
        <f>IF(WINDOWS!$C17="","",IF(WINDOWS!$T17="","","   "&amp;IF(WINDOWS!$E17="",WINDOWS!$S17,WINDOWS!$R17)&amp;" "&amp;WINDOWS!$T17&amp;IF(WINDOWS!$X17="",";",",")))</f>
        <v xml:space="preserve">    CLEAR 6MM;</v>
      </c>
      <c r="B101" s="412" t="str">
        <f>IF(WINDOWS!$C17="","","! Layer 3")</f>
        <v>! Layer 3</v>
      </c>
      <c r="C101" s="412" t="str">
        <f>IF(WINDOWS!$C46="","",IF(WINDOWS!$L46="","","   "&amp;IF(WINDOWS!$E46="",WINDOWS!$K46,WINDOWS!$J46)&amp;" "&amp;WINDOWS!$L46&amp;IF(WINDOWS!$P46="",";",",")))</f>
        <v/>
      </c>
      <c r="D101" s="412" t="str">
        <f>IF(WINDOWS!$C46="","","! Layer 1")</f>
        <v/>
      </c>
    </row>
    <row r="102" spans="1:4">
      <c r="A102" s="412" t="str">
        <f>IF(WINDOWS!$C17="","",IF(WINDOWS!$X17="","","   "&amp;IF(WINDOWS!$E17="",WINDOWS!$W17,WINDOWS!$V17)&amp;" "&amp;WINDOWS!$X17&amp;IF(WINDOWS!$AB17="",";",",")))</f>
        <v/>
      </c>
      <c r="B102" s="412" t="str">
        <f>IF(WINDOWS!$C17="","","! Layer 4")</f>
        <v>! Layer 4</v>
      </c>
      <c r="C102" s="412" t="str">
        <f>IF(WINDOWS!$C46="","",IF(WINDOWS!$P46="","","   "&amp;IF(WINDOWS!$E46="",WINDOWS!$O46,WINDOWS!$N46)&amp;" "&amp;WINDOWS!$P46&amp;IF(WINDOWS!$T46="",";",",")))</f>
        <v/>
      </c>
      <c r="D102" s="412" t="str">
        <f>IF(WINDOWS!$C46="","","! Layer 2")</f>
        <v/>
      </c>
    </row>
    <row r="103" spans="1:4">
      <c r="A103" s="412" t="str">
        <f>IF(WINDOWS!$C17="","",IF(WINDOWS!$AB17="","","   "&amp;IF(WINDOWS!$E17="",WINDOWS!$AA17,WINDOWS!$Z17)&amp;" "&amp;WINDOWS!$AB17&amp;IF(WINDOWS!$AF17="",";",",")))</f>
        <v/>
      </c>
      <c r="B103" s="412" t="str">
        <f>IF(WINDOWS!$C17="","","! Layer 5")</f>
        <v>! Layer 5</v>
      </c>
      <c r="C103" s="412" t="str">
        <f>IF(WINDOWS!$C46="","",IF(WINDOWS!$T46="","","   "&amp;IF(WINDOWS!$E46="",WINDOWS!$S46,WINDOWS!$R46)&amp;" "&amp;WINDOWS!$T46&amp;IF(WINDOWS!$X46="",";",",")))</f>
        <v/>
      </c>
      <c r="D103" s="412" t="str">
        <f>IF(WINDOWS!$C46="","","! Layer 3")</f>
        <v/>
      </c>
    </row>
    <row r="104" spans="1:4">
      <c r="A104" s="412" t="str">
        <f>IF(WINDOWS!$C17="","",IF(WINDOWS!$AF17="","","   "&amp;IF(WINDOWS!$E17="",WINDOWS!$AE17,WINDOWS!$AD17)&amp;" "&amp;WINDOWS!$AF17&amp;IF(WINDOWS!$AJ17="",";",",")))</f>
        <v/>
      </c>
      <c r="B104" s="412" t="str">
        <f>IF(WINDOWS!$C17="","","! Layer 6")</f>
        <v>! Layer 6</v>
      </c>
      <c r="C104" s="412" t="str">
        <f>IF(WINDOWS!$C46="","",IF(WINDOWS!$X46="","","   "&amp;IF(WINDOWS!$E46="",WINDOWS!$W46,WINDOWS!$V46)&amp;" "&amp;WINDOWS!$X46&amp;IF(WINDOWS!$AB46="",";",",")))</f>
        <v/>
      </c>
      <c r="D104" s="412" t="str">
        <f>IF(WINDOWS!$C46="","","! Layer 4")</f>
        <v/>
      </c>
    </row>
    <row r="105" spans="1:4">
      <c r="A105" s="412" t="str">
        <f>IF(WINDOWS!$C17="","",IF(WINDOWS!$AJ17="","","   "&amp;IF(WINDOWS!$E17="",WINDOWS!$AI17,WINDOWS!$AH17)&amp;" "&amp;WINDOWS!$AJ17&amp;";"))</f>
        <v/>
      </c>
      <c r="B105" s="412" t="str">
        <f>IF(WINDOWS!$C17="","","! Layer 7")</f>
        <v>! Layer 7</v>
      </c>
      <c r="C105" s="412" t="str">
        <f>IF(WINDOWS!$C46="","",IF(WINDOWS!$AB46="","","   "&amp;IF(WINDOWS!$E46="",WINDOWS!$AA46,WINDOWS!$Z46)&amp;" "&amp;WINDOWS!$AB46&amp;IF(WINDOWS!$AF46="",";",",")))</f>
        <v/>
      </c>
      <c r="D105" s="412" t="str">
        <f>IF(WINDOWS!$C46="","","! Layer 5")</f>
        <v/>
      </c>
    </row>
    <row r="106" spans="1:4">
      <c r="A106" s="412"/>
      <c r="B106" s="412"/>
      <c r="C106" s="412" t="str">
        <f>IF(WINDOWS!$C46="","",IF(WINDOWS!$AF46="","","   "&amp;IF(WINDOWS!$E46="",WINDOWS!$AE46,WINDOWS!$AD46)&amp;" "&amp;WINDOWS!$AF46&amp;IF(WINDOWS!$AJ46="",";",",")))</f>
        <v/>
      </c>
      <c r="D106" s="412" t="str">
        <f>IF(WINDOWS!$C46="","","! Layer 6")</f>
        <v/>
      </c>
    </row>
    <row r="107" spans="1:4">
      <c r="A107" s="412" t="str">
        <f>IF(WINDOWS!$C18="","","Construction")</f>
        <v>Construction</v>
      </c>
      <c r="B107" s="412" t="str">
        <f>IF(WINDOWS!$C18="","",IF(WINDOWS!$D18="","! User defined window construction from spreadheet WINDOWS,","! Based on E+ dataset "&amp;WINDOWS!$E18&amp;". "))</f>
        <v xml:space="preserve">! Based on E+ dataset Dbl Ref-B-L Tint 6mm/6mm Air. </v>
      </c>
      <c r="C107" s="412" t="str">
        <f>IF(WINDOWS!$C46="","",IF(WINDOWS!$AJ46="","","   "&amp;IF(WINDOWS!$E46="",WINDOWS!$AI46,WINDOWS!$AH46)&amp;" "&amp;WINDOWS!$AJ46&amp;";"))</f>
        <v/>
      </c>
      <c r="D107" s="412" t="str">
        <f>IF(WINDOWS!$C46="","","! Layer 7")</f>
        <v/>
      </c>
    </row>
    <row r="108" spans="1:4">
      <c r="A108" s="412" t="str">
        <f>IF(WINDOWS!$C18="","","    Window Cons. "&amp;WINDOWS!$B18&amp;",")</f>
        <v xml:space="preserve">    Window Cons. 11,</v>
      </c>
      <c r="B108" s="412" t="str">
        <f>IF(WINDOWS!$C18="","","! for Project Cons. Name: "&amp;WINDOWS!$C18)</f>
        <v>! for Project Cons. Name: G11</v>
      </c>
      <c r="C108" s="412"/>
      <c r="D108" s="412"/>
    </row>
    <row r="109" spans="1:4">
      <c r="A109" s="412" t="str">
        <f>IF(WINDOWS!$C18="","",IF(WINDOWS!$L18="","","   "&amp;IF(WINDOWS!$E18="",WINDOWS!$K18,WINDOWS!$J18)&amp;" "&amp;WINDOWS!$L18&amp;IF(WINDOWS!$P18="",";",",")))</f>
        <v xml:space="preserve">    REF B TINT LO 6MM,</v>
      </c>
      <c r="B109" s="412" t="str">
        <f>IF(WINDOWS!$C18="","","! Layer 1")</f>
        <v>! Layer 1</v>
      </c>
      <c r="C109" s="412" t="str">
        <f>IF(WINDOWS!$C47="","","Construction")</f>
        <v/>
      </c>
      <c r="D109" s="412" t="str">
        <f>IF(WINDOWS!$C47="","",IF(WINDOWS!$D47="","! User defined window construction from spreadheet WINDOWS,","! Based on E+ dataset "&amp;WINDOWS!$E47&amp;". "))</f>
        <v/>
      </c>
    </row>
    <row r="110" spans="1:4">
      <c r="A110" s="412" t="str">
        <f>IF(WINDOWS!$C18="","",IF(WINDOWS!$P18="","","   "&amp;IF(WINDOWS!$E18="",WINDOWS!$O18,WINDOWS!$N18)&amp;" "&amp;WINDOWS!$P18&amp;IF(WINDOWS!$T18="",";",",")))</f>
        <v xml:space="preserve">    AIR 6MM,</v>
      </c>
      <c r="B110" s="412" t="str">
        <f>IF(WINDOWS!$C18="","","! Layer 2")</f>
        <v>! Layer 2</v>
      </c>
      <c r="C110" s="412" t="str">
        <f>IF(WINDOWS!$C47="","","    Window Cons. "&amp;WINDOWS!$B47&amp;",")</f>
        <v/>
      </c>
      <c r="D110" s="412" t="str">
        <f>IF(WINDOWS!$C47="","","! for Project Cons. Name: "&amp;WINDOWS!$C47)</f>
        <v/>
      </c>
    </row>
    <row r="111" spans="1:4">
      <c r="A111" s="412" t="str">
        <f>IF(WINDOWS!$C18="","",IF(WINDOWS!$T18="","","   "&amp;IF(WINDOWS!$E18="",WINDOWS!$S18,WINDOWS!$R18)&amp;" "&amp;WINDOWS!$T18&amp;IF(WINDOWS!$X18="",";",",")))</f>
        <v xml:space="preserve">    CLEAR 6MM;</v>
      </c>
      <c r="B111" s="412" t="str">
        <f>IF(WINDOWS!$C18="","","! Layer 3")</f>
        <v>! Layer 3</v>
      </c>
      <c r="C111" s="412" t="str">
        <f>IF(WINDOWS!$C47="","",IF(WINDOWS!$L47="","","   "&amp;IF(WINDOWS!$E47="",WINDOWS!$K47,WINDOWS!$J47)&amp;" "&amp;WINDOWS!$L47&amp;IF(WINDOWS!$P47="",";",",")))</f>
        <v/>
      </c>
      <c r="D111" s="412" t="str">
        <f>IF(WINDOWS!$C47="","","! Layer 1")</f>
        <v/>
      </c>
    </row>
    <row r="112" spans="1:4">
      <c r="A112" s="412" t="str">
        <f>IF(WINDOWS!$C18="","",IF(WINDOWS!$X18="","","   "&amp;IF(WINDOWS!$E18="",WINDOWS!$W18,WINDOWS!$V18)&amp;" "&amp;WINDOWS!$X18&amp;IF(WINDOWS!$AB18="",";",",")))</f>
        <v/>
      </c>
      <c r="B112" s="412" t="str">
        <f>IF(WINDOWS!$C18="","","! Layer 4")</f>
        <v>! Layer 4</v>
      </c>
      <c r="C112" s="412" t="str">
        <f>IF(WINDOWS!$C47="","",IF(WINDOWS!$P47="","","   "&amp;IF(WINDOWS!$E47="",WINDOWS!$O47,WINDOWS!$N47)&amp;" "&amp;WINDOWS!$P47&amp;IF(WINDOWS!$T47="",";",",")))</f>
        <v/>
      </c>
      <c r="D112" s="412" t="str">
        <f>IF(WINDOWS!$C47="","","! Layer 2")</f>
        <v/>
      </c>
    </row>
    <row r="113" spans="1:4">
      <c r="A113" s="412" t="str">
        <f>IF(WINDOWS!$C18="","",IF(WINDOWS!$AB18="","","   "&amp;IF(WINDOWS!$E18="",WINDOWS!$AA18,WINDOWS!$Z18)&amp;" "&amp;WINDOWS!$AB18&amp;IF(WINDOWS!$AF18="",";",",")))</f>
        <v/>
      </c>
      <c r="B113" s="412" t="str">
        <f>IF(WINDOWS!$C18="","","! Layer 5")</f>
        <v>! Layer 5</v>
      </c>
      <c r="C113" s="412" t="str">
        <f>IF(WINDOWS!$C47="","",IF(WINDOWS!$T47="","","   "&amp;IF(WINDOWS!$E47="",WINDOWS!$S47,WINDOWS!$R47)&amp;" "&amp;WINDOWS!$T47&amp;IF(WINDOWS!$X47="",";",",")))</f>
        <v/>
      </c>
      <c r="D113" s="412" t="str">
        <f>IF(WINDOWS!$C47="","","! Layer 3")</f>
        <v/>
      </c>
    </row>
    <row r="114" spans="1:4">
      <c r="A114" s="412" t="str">
        <f>IF(WINDOWS!$C18="","",IF(WINDOWS!$AF18="","","   "&amp;IF(WINDOWS!$E18="",WINDOWS!$AE18,WINDOWS!$AD18)&amp;" "&amp;WINDOWS!$AF18&amp;IF(WINDOWS!$AJ18="",";",",")))</f>
        <v/>
      </c>
      <c r="B114" s="412" t="str">
        <f>IF(WINDOWS!$C18="","","! Layer 6")</f>
        <v>! Layer 6</v>
      </c>
      <c r="C114" s="412" t="str">
        <f>IF(WINDOWS!$C47="","",IF(WINDOWS!$X47="","","   "&amp;IF(WINDOWS!$E47="",WINDOWS!$W47,WINDOWS!$V47)&amp;" "&amp;WINDOWS!$X47&amp;IF(WINDOWS!$AB47="",";",",")))</f>
        <v/>
      </c>
      <c r="D114" s="412" t="str">
        <f>IF(WINDOWS!$C47="","","! Layer 4")</f>
        <v/>
      </c>
    </row>
    <row r="115" spans="1:4">
      <c r="A115" s="412" t="str">
        <f>IF(WINDOWS!$C18="","",IF(WINDOWS!$AJ18="","","   "&amp;IF(WINDOWS!$E18="",WINDOWS!$AI18,WINDOWS!$AH18)&amp;" "&amp;WINDOWS!$AJ18&amp;";"))</f>
        <v/>
      </c>
      <c r="B115" s="412" t="str">
        <f>IF(WINDOWS!$C18="","","! Layer 7")</f>
        <v>! Layer 7</v>
      </c>
      <c r="C115" s="412" t="str">
        <f>IF(WINDOWS!$C47="","",IF(WINDOWS!$AB47="","","   "&amp;IF(WINDOWS!$E47="",WINDOWS!$AA47,WINDOWS!$Z47)&amp;" "&amp;WINDOWS!$AB47&amp;IF(WINDOWS!$AF47="",";",",")))</f>
        <v/>
      </c>
      <c r="D115" s="412" t="str">
        <f>IF(WINDOWS!$C47="","","! Layer 5")</f>
        <v/>
      </c>
    </row>
    <row r="116" spans="1:4">
      <c r="A116" s="412"/>
      <c r="B116" s="412"/>
      <c r="C116" s="412" t="str">
        <f>IF(WINDOWS!$C47="","",IF(WINDOWS!$AF47="","","   "&amp;IF(WINDOWS!$E47="",WINDOWS!$AE47,WINDOWS!$AD47)&amp;" "&amp;WINDOWS!$AF47&amp;IF(WINDOWS!$AJ47="",";",",")))</f>
        <v/>
      </c>
      <c r="D116" s="412" t="str">
        <f>IF(WINDOWS!$C47="","","! Layer 6")</f>
        <v/>
      </c>
    </row>
    <row r="117" spans="1:4">
      <c r="A117" s="412" t="str">
        <f>IF(WINDOWS!$C19="","","Construction")</f>
        <v>Construction</v>
      </c>
      <c r="B117" s="412" t="str">
        <f>IF(WINDOWS!$C19="","",IF(WINDOWS!$D19="","! User defined window construction from spreadheet WINDOWS,","! Based on E+ dataset "&amp;WINDOWS!$E19&amp;". "))</f>
        <v xml:space="preserve">! Based on E+ dataset Dbl Ref-C-L Clr 6mm/13mm Air. </v>
      </c>
      <c r="C117" s="412" t="str">
        <f>IF(WINDOWS!$C47="","",IF(WINDOWS!$AJ47="","","   "&amp;IF(WINDOWS!$E47="",WINDOWS!$AI47,WINDOWS!$AH47)&amp;" "&amp;WINDOWS!$AJ47&amp;";"))</f>
        <v/>
      </c>
      <c r="D117" s="412" t="str">
        <f>IF(WINDOWS!$C47="","","! Layer 7")</f>
        <v/>
      </c>
    </row>
    <row r="118" spans="1:4">
      <c r="A118" s="412" t="str">
        <f>IF(WINDOWS!$C19="","","    Window Cons. "&amp;WINDOWS!$B19&amp;",")</f>
        <v xml:space="preserve">    Window Cons. 12,</v>
      </c>
      <c r="B118" s="412" t="str">
        <f>IF(WINDOWS!$C19="","","! for Project Cons. Name: "&amp;WINDOWS!$C19)</f>
        <v>! for Project Cons. Name: G12</v>
      </c>
      <c r="C118" s="412"/>
      <c r="D118" s="412"/>
    </row>
    <row r="119" spans="1:4">
      <c r="A119" s="412" t="str">
        <f>IF(WINDOWS!$C19="","",IF(WINDOWS!$L19="","","   "&amp;IF(WINDOWS!$E19="",WINDOWS!$K19,WINDOWS!$J19)&amp;" "&amp;WINDOWS!$L19&amp;IF(WINDOWS!$P19="",";",",")))</f>
        <v xml:space="preserve">    REF C CLEAR LO 6MM,</v>
      </c>
      <c r="B119" s="412" t="str">
        <f>IF(WINDOWS!$C19="","","! Layer 1")</f>
        <v>! Layer 1</v>
      </c>
      <c r="C119" s="412" t="str">
        <f>IF(WINDOWS!$C48="","","Construction")</f>
        <v/>
      </c>
      <c r="D119" s="412" t="str">
        <f>IF(WINDOWS!$C48="","",IF(WINDOWS!$D48="","! User defined window construction from spreadheet WINDOWS,","! Based on E+ dataset "&amp;WINDOWS!$E48&amp;". "))</f>
        <v/>
      </c>
    </row>
    <row r="120" spans="1:4">
      <c r="A120" s="412" t="str">
        <f>IF(WINDOWS!$C19="","",IF(WINDOWS!$P19="","","   "&amp;IF(WINDOWS!$E19="",WINDOWS!$O19,WINDOWS!$N19)&amp;" "&amp;WINDOWS!$P19&amp;IF(WINDOWS!$T19="",";",",")))</f>
        <v xml:space="preserve">    AIR 13MM,</v>
      </c>
      <c r="B120" s="412" t="str">
        <f>IF(WINDOWS!$C19="","","! Layer 2")</f>
        <v>! Layer 2</v>
      </c>
      <c r="C120" s="412" t="str">
        <f>IF(WINDOWS!$C48="","","    Window Cons. "&amp;WINDOWS!$B48&amp;",")</f>
        <v/>
      </c>
      <c r="D120" s="412" t="str">
        <f>IF(WINDOWS!$C48="","","! for Project Cons. Name: "&amp;WINDOWS!$C48)</f>
        <v/>
      </c>
    </row>
    <row r="121" spans="1:4">
      <c r="A121" s="412" t="str">
        <f>IF(WINDOWS!$C19="","",IF(WINDOWS!$T19="","","   "&amp;IF(WINDOWS!$E19="",WINDOWS!$S19,WINDOWS!$R19)&amp;" "&amp;WINDOWS!$T19&amp;IF(WINDOWS!$X19="",";",",")))</f>
        <v xml:space="preserve">    CLEAR 6MM;</v>
      </c>
      <c r="B121" s="412" t="str">
        <f>IF(WINDOWS!$C19="","","! Layer 3")</f>
        <v>! Layer 3</v>
      </c>
      <c r="C121" s="412" t="str">
        <f>IF(WINDOWS!$C48="","",IF(WINDOWS!$L48="","","   "&amp;IF(WINDOWS!$E48="",WINDOWS!$K48,WINDOWS!$J48)&amp;" "&amp;WINDOWS!$L48&amp;IF(WINDOWS!$P48="",";",",")))</f>
        <v/>
      </c>
      <c r="D121" s="412" t="str">
        <f>IF(WINDOWS!$C48="","","! Layer 1")</f>
        <v/>
      </c>
    </row>
    <row r="122" spans="1:4">
      <c r="A122" s="412" t="str">
        <f>IF(WINDOWS!$C19="","",IF(WINDOWS!$X19="","","   "&amp;IF(WINDOWS!$E19="",WINDOWS!$W19,WINDOWS!$V19)&amp;" "&amp;WINDOWS!$X19&amp;IF(WINDOWS!$AB19="",";",",")))</f>
        <v/>
      </c>
      <c r="B122" s="412" t="str">
        <f>IF(WINDOWS!$C19="","","! Layer 4")</f>
        <v>! Layer 4</v>
      </c>
      <c r="C122" s="412" t="str">
        <f>IF(WINDOWS!$C48="","",IF(WINDOWS!$P48="","","   "&amp;IF(WINDOWS!$E48="",WINDOWS!$O48,WINDOWS!$N48)&amp;" "&amp;WINDOWS!$P48&amp;IF(WINDOWS!$T48="",";",",")))</f>
        <v/>
      </c>
      <c r="D122" s="412" t="str">
        <f>IF(WINDOWS!$C48="","","! Layer 2")</f>
        <v/>
      </c>
    </row>
    <row r="123" spans="1:4">
      <c r="A123" s="412" t="str">
        <f>IF(WINDOWS!$C19="","",IF(WINDOWS!$AB19="","","   "&amp;IF(WINDOWS!$E19="",WINDOWS!$AA19,WINDOWS!$Z19)&amp;" "&amp;WINDOWS!$AB19&amp;IF(WINDOWS!$AF19="",";",",")))</f>
        <v/>
      </c>
      <c r="B123" s="412" t="str">
        <f>IF(WINDOWS!$C19="","","! Layer 5")</f>
        <v>! Layer 5</v>
      </c>
      <c r="C123" s="412" t="str">
        <f>IF(WINDOWS!$C48="","",IF(WINDOWS!$T48="","","   "&amp;IF(WINDOWS!$E48="",WINDOWS!$S48,WINDOWS!$R48)&amp;" "&amp;WINDOWS!$T48&amp;IF(WINDOWS!$X48="",";",",")))</f>
        <v/>
      </c>
      <c r="D123" s="412" t="str">
        <f>IF(WINDOWS!$C48="","","! Layer 3")</f>
        <v/>
      </c>
    </row>
    <row r="124" spans="1:4">
      <c r="A124" s="412" t="str">
        <f>IF(WINDOWS!$C19="","",IF(WINDOWS!$AF19="","","   "&amp;IF(WINDOWS!$E19="",WINDOWS!$AE19,WINDOWS!$AD19)&amp;" "&amp;WINDOWS!$AF19&amp;IF(WINDOWS!$AJ19="",";",",")))</f>
        <v/>
      </c>
      <c r="B124" s="412" t="str">
        <f>IF(WINDOWS!$C19="","","! Layer 6")</f>
        <v>! Layer 6</v>
      </c>
      <c r="C124" s="412" t="str">
        <f>IF(WINDOWS!$C48="","",IF(WINDOWS!$X48="","","   "&amp;IF(WINDOWS!$E48="",WINDOWS!$W48,WINDOWS!$V48)&amp;" "&amp;WINDOWS!$X48&amp;IF(WINDOWS!$AB48="",";",",")))</f>
        <v/>
      </c>
      <c r="D124" s="412" t="str">
        <f>IF(WINDOWS!$C48="","","! Layer 4")</f>
        <v/>
      </c>
    </row>
    <row r="125" spans="1:4">
      <c r="A125" s="412" t="str">
        <f>IF(WINDOWS!$C19="","",IF(WINDOWS!$AJ19="","","   "&amp;IF(WINDOWS!$E19="",WINDOWS!$AI19,WINDOWS!$AH19)&amp;" "&amp;WINDOWS!$AJ19&amp;";"))</f>
        <v/>
      </c>
      <c r="B125" s="412" t="str">
        <f>IF(WINDOWS!$C19="","","! Layer 7")</f>
        <v>! Layer 7</v>
      </c>
      <c r="C125" s="412" t="str">
        <f>IF(WINDOWS!$C48="","",IF(WINDOWS!$AB48="","","   "&amp;IF(WINDOWS!$E48="",WINDOWS!$AA48,WINDOWS!$Z48)&amp;" "&amp;WINDOWS!$AB48&amp;IF(WINDOWS!$AF48="",";",",")))</f>
        <v/>
      </c>
      <c r="D125" s="412" t="str">
        <f>IF(WINDOWS!$C48="","","! Layer 5")</f>
        <v/>
      </c>
    </row>
    <row r="126" spans="1:4">
      <c r="A126" s="412"/>
      <c r="B126" s="412"/>
      <c r="C126" s="412" t="str">
        <f>IF(WINDOWS!$C48="","",IF(WINDOWS!$AF48="","","   "&amp;IF(WINDOWS!$E48="",WINDOWS!$AE48,WINDOWS!$AD48)&amp;" "&amp;WINDOWS!$AF48&amp;IF(WINDOWS!$AJ48="",";",",")))</f>
        <v/>
      </c>
      <c r="D126" s="412" t="str">
        <f>IF(WINDOWS!$C48="","","! Layer 6")</f>
        <v/>
      </c>
    </row>
    <row r="127" spans="1:4">
      <c r="A127" s="412" t="str">
        <f>IF(WINDOWS!$C20="","","Construction")</f>
        <v>Construction</v>
      </c>
      <c r="B127" s="412" t="str">
        <f>IF(WINDOWS!$C20="","",IF(WINDOWS!$D20="","! User defined window construction from spreadheet WINDOWS,","! Based on E+ dataset "&amp;WINDOWS!$E20&amp;". "))</f>
        <v xml:space="preserve">! Based on E+ dataset Dbl Ref-C-L Tint 6mm/13mm Arg. </v>
      </c>
      <c r="C127" s="412" t="str">
        <f>IF(WINDOWS!$C48="","",IF(WINDOWS!$AJ48="","","   "&amp;IF(WINDOWS!$E48="",WINDOWS!$AI48,WINDOWS!$AH48)&amp;" "&amp;WINDOWS!$AJ48&amp;";"))</f>
        <v/>
      </c>
      <c r="D127" s="412" t="str">
        <f>IF(WINDOWS!$C48="","","! Layer 7")</f>
        <v/>
      </c>
    </row>
    <row r="128" spans="1:4">
      <c r="A128" s="412" t="str">
        <f>IF(WINDOWS!$C20="","","    Window Cons. "&amp;WINDOWS!$B20&amp;",")</f>
        <v xml:space="preserve">    Window Cons. 13,</v>
      </c>
      <c r="B128" s="412" t="str">
        <f>IF(WINDOWS!$C20="","","! for Project Cons. Name: "&amp;WINDOWS!$C20)</f>
        <v>! for Project Cons. Name: G13</v>
      </c>
      <c r="C128" s="412"/>
      <c r="D128" s="412"/>
    </row>
    <row r="129" spans="1:4">
      <c r="A129" s="412" t="str">
        <f>IF(WINDOWS!$C20="","",IF(WINDOWS!$L20="","","   "&amp;IF(WINDOWS!$E20="",WINDOWS!$K20,WINDOWS!$J20)&amp;" "&amp;WINDOWS!$L20&amp;IF(WINDOWS!$P20="",";",",")))</f>
        <v xml:space="preserve">    REF C TINT LO 6MM,</v>
      </c>
      <c r="B129" s="412" t="str">
        <f>IF(WINDOWS!$C20="","","! Layer 1")</f>
        <v>! Layer 1</v>
      </c>
      <c r="C129" s="412" t="str">
        <f>IF(WINDOWS!$C49="","","Construction")</f>
        <v/>
      </c>
      <c r="D129" s="412" t="str">
        <f>IF(WINDOWS!$C49="","",IF(WINDOWS!$D49="","! User defined window construction from spreadheet WINDOWS,","! Based on E+ dataset "&amp;WINDOWS!$E49&amp;". "))</f>
        <v/>
      </c>
    </row>
    <row r="130" spans="1:4">
      <c r="A130" s="412" t="str">
        <f>IF(WINDOWS!$C20="","",IF(WINDOWS!$P20="","","   "&amp;IF(WINDOWS!$E20="",WINDOWS!$O20,WINDOWS!$N20)&amp;" "&amp;WINDOWS!$P20&amp;IF(WINDOWS!$T20="",";",",")))</f>
        <v xml:space="preserve">    ARGON 13MM,</v>
      </c>
      <c r="B130" s="412" t="str">
        <f>IF(WINDOWS!$C20="","","! Layer 2")</f>
        <v>! Layer 2</v>
      </c>
      <c r="C130" s="412" t="str">
        <f>IF(WINDOWS!$C49="","","    Window Cons. "&amp;WINDOWS!$B49&amp;",")</f>
        <v/>
      </c>
      <c r="D130" s="412" t="str">
        <f>IF(WINDOWS!$C49="","","! for Project Cons. Name: "&amp;WINDOWS!$C49)</f>
        <v/>
      </c>
    </row>
    <row r="131" spans="1:4">
      <c r="A131" s="412" t="str">
        <f>IF(WINDOWS!$C20="","",IF(WINDOWS!$T20="","","   "&amp;IF(WINDOWS!$E20="",WINDOWS!$S20,WINDOWS!$R20)&amp;" "&amp;WINDOWS!$T20&amp;IF(WINDOWS!$X20="",";",",")))</f>
        <v xml:space="preserve">    CLEAR 6MM;</v>
      </c>
      <c r="B131" s="412" t="str">
        <f>IF(WINDOWS!$C20="","","! Layer 3")</f>
        <v>! Layer 3</v>
      </c>
      <c r="C131" s="412" t="str">
        <f>IF(WINDOWS!$C49="","",IF(WINDOWS!$L49="","","   "&amp;IF(WINDOWS!$E49="",WINDOWS!$K49,WINDOWS!$J49)&amp;" "&amp;WINDOWS!$L49&amp;IF(WINDOWS!$P49="",";",",")))</f>
        <v/>
      </c>
      <c r="D131" s="412" t="str">
        <f>IF(WINDOWS!$C49="","","! Layer 1")</f>
        <v/>
      </c>
    </row>
    <row r="132" spans="1:4">
      <c r="A132" s="412" t="str">
        <f>IF(WINDOWS!$C20="","",IF(WINDOWS!$X20="","","   "&amp;IF(WINDOWS!$E20="",WINDOWS!$W20,WINDOWS!$V20)&amp;" "&amp;WINDOWS!$X20&amp;IF(WINDOWS!$AB20="",";",",")))</f>
        <v/>
      </c>
      <c r="B132" s="412" t="str">
        <f>IF(WINDOWS!$C20="","","! Layer 4")</f>
        <v>! Layer 4</v>
      </c>
      <c r="C132" s="412" t="str">
        <f>IF(WINDOWS!$C49="","",IF(WINDOWS!$P49="","","   "&amp;IF(WINDOWS!$E49="",WINDOWS!$O49,WINDOWS!$N49)&amp;" "&amp;WINDOWS!$P49&amp;IF(WINDOWS!$T49="",";",",")))</f>
        <v/>
      </c>
      <c r="D132" s="412" t="str">
        <f>IF(WINDOWS!$C49="","","! Layer 2")</f>
        <v/>
      </c>
    </row>
    <row r="133" spans="1:4">
      <c r="A133" s="412" t="str">
        <f>IF(WINDOWS!$C20="","",IF(WINDOWS!$AB20="","","   "&amp;IF(WINDOWS!$E20="",WINDOWS!$AA20,WINDOWS!$Z20)&amp;" "&amp;WINDOWS!$AB20&amp;IF(WINDOWS!$AF20="",";",",")))</f>
        <v/>
      </c>
      <c r="B133" s="412" t="str">
        <f>IF(WINDOWS!$C20="","","! Layer 5")</f>
        <v>! Layer 5</v>
      </c>
      <c r="C133" s="412" t="str">
        <f>IF(WINDOWS!$C49="","",IF(WINDOWS!$T49="","","   "&amp;IF(WINDOWS!$E49="",WINDOWS!$S49,WINDOWS!$R49)&amp;" "&amp;WINDOWS!$T49&amp;IF(WINDOWS!$X49="",";",",")))</f>
        <v/>
      </c>
      <c r="D133" s="412" t="str">
        <f>IF(WINDOWS!$C49="","","! Layer 3")</f>
        <v/>
      </c>
    </row>
    <row r="134" spans="1:4">
      <c r="A134" s="412" t="str">
        <f>IF(WINDOWS!$C20="","",IF(WINDOWS!$AF20="","","   "&amp;IF(WINDOWS!$E20="",WINDOWS!$AE20,WINDOWS!$AD20)&amp;" "&amp;WINDOWS!$AF20&amp;IF(WINDOWS!$AJ20="",";",",")))</f>
        <v/>
      </c>
      <c r="B134" s="412" t="str">
        <f>IF(WINDOWS!$C20="","","! Layer 6")</f>
        <v>! Layer 6</v>
      </c>
      <c r="C134" s="412" t="str">
        <f>IF(WINDOWS!$C49="","",IF(WINDOWS!$X49="","","   "&amp;IF(WINDOWS!$E49="",WINDOWS!$W49,WINDOWS!$V49)&amp;" "&amp;WINDOWS!$X49&amp;IF(WINDOWS!$AB49="",";",",")))</f>
        <v/>
      </c>
      <c r="D134" s="412" t="str">
        <f>IF(WINDOWS!$C49="","","! Layer 4")</f>
        <v/>
      </c>
    </row>
    <row r="135" spans="1:4">
      <c r="A135" s="412" t="str">
        <f>IF(WINDOWS!$C20="","",IF(WINDOWS!$AJ20="","","   "&amp;IF(WINDOWS!$E20="",WINDOWS!$AI20,WINDOWS!$AH20)&amp;" "&amp;WINDOWS!$AJ20&amp;";"))</f>
        <v/>
      </c>
      <c r="B135" s="412" t="str">
        <f>IF(WINDOWS!$C20="","","! Layer 7")</f>
        <v>! Layer 7</v>
      </c>
      <c r="C135" s="412" t="str">
        <f>IF(WINDOWS!$C49="","",IF(WINDOWS!$AB49="","","   "&amp;IF(WINDOWS!$E49="",WINDOWS!$AA49,WINDOWS!$Z49)&amp;" "&amp;WINDOWS!$AB49&amp;IF(WINDOWS!$AF49="",";",",")))</f>
        <v/>
      </c>
      <c r="D135" s="412" t="str">
        <f>IF(WINDOWS!$C49="","","! Layer 5")</f>
        <v/>
      </c>
    </row>
    <row r="136" spans="1:4">
      <c r="A136" s="412"/>
      <c r="B136" s="412"/>
      <c r="C136" s="412" t="str">
        <f>IF(WINDOWS!$C49="","",IF(WINDOWS!$AF49="","","   "&amp;IF(WINDOWS!$E49="",WINDOWS!$AE49,WINDOWS!$AD49)&amp;" "&amp;WINDOWS!$AF49&amp;IF(WINDOWS!$AJ49="",";",",")))</f>
        <v/>
      </c>
      <c r="D136" s="412" t="str">
        <f>IF(WINDOWS!$C49="","","! Layer 6")</f>
        <v/>
      </c>
    </row>
    <row r="137" spans="1:4">
      <c r="A137" s="412" t="str">
        <f>IF(WINDOWS!$C21="","","Construction")</f>
        <v>Construction</v>
      </c>
      <c r="B137" s="412" t="str">
        <f>IF(WINDOWS!$C21="","",IF(WINDOWS!$D21="","! User defined window construction from spreadheet WINDOWS,","! Based on E+ dataset "&amp;WINDOWS!$E21&amp;". "))</f>
        <v xml:space="preserve">! Based on E+ dataset Dbl Ref-D Tint 6mm/6mm Air. </v>
      </c>
      <c r="C137" s="412" t="str">
        <f>IF(WINDOWS!$C49="","",IF(WINDOWS!$AJ49="","","   "&amp;IF(WINDOWS!$E49="",WINDOWS!$AI49,WINDOWS!$AH49)&amp;" "&amp;WINDOWS!$AJ49&amp;";"))</f>
        <v/>
      </c>
      <c r="D137" s="412" t="str">
        <f>IF(WINDOWS!$C49="","","! Layer 7")</f>
        <v/>
      </c>
    </row>
    <row r="138" spans="1:4">
      <c r="A138" s="412" t="str">
        <f>IF(WINDOWS!$C21="","","    Window Cons. "&amp;WINDOWS!$B21&amp;",")</f>
        <v xml:space="preserve">    Window Cons. 14,</v>
      </c>
      <c r="B138" s="412" t="str">
        <f>IF(WINDOWS!$C21="","","! for Project Cons. Name: "&amp;WINDOWS!$C21)</f>
        <v>! for Project Cons. Name: G14</v>
      </c>
      <c r="C138" s="412"/>
      <c r="D138" s="412"/>
    </row>
    <row r="139" spans="1:4">
      <c r="A139" s="412" t="str">
        <f>IF(WINDOWS!$C21="","",IF(WINDOWS!$L21="","","   "&amp;IF(WINDOWS!$E21="",WINDOWS!$K21,WINDOWS!$J21)&amp;" "&amp;WINDOWS!$L21&amp;IF(WINDOWS!$P21="",";",",")))</f>
        <v xml:space="preserve">    REF D TINT 6MM,</v>
      </c>
      <c r="B139" s="412" t="str">
        <f>IF(WINDOWS!$C21="","","! Layer 1")</f>
        <v>! Layer 1</v>
      </c>
      <c r="C139" s="412" t="str">
        <f>IF(WINDOWS!$C50="","","Construction")</f>
        <v/>
      </c>
      <c r="D139" s="412" t="str">
        <f>IF(WINDOWS!$C50="","",IF(WINDOWS!$D50="","! User defined window construction from spreadheet WINDOWS,","! Based on E+ dataset "&amp;WINDOWS!$E50&amp;". "))</f>
        <v/>
      </c>
    </row>
    <row r="140" spans="1:4">
      <c r="A140" s="412" t="str">
        <f>IF(WINDOWS!$C21="","",IF(WINDOWS!$P21="","","   "&amp;IF(WINDOWS!$E21="",WINDOWS!$O21,WINDOWS!$N21)&amp;" "&amp;WINDOWS!$P21&amp;IF(WINDOWS!$T21="",";",",")))</f>
        <v xml:space="preserve">    AIR 6MM,</v>
      </c>
      <c r="B140" s="412" t="str">
        <f>IF(WINDOWS!$C21="","","! Layer 2")</f>
        <v>! Layer 2</v>
      </c>
      <c r="C140" s="412" t="str">
        <f>IF(WINDOWS!$C50="","","    Window Cons. "&amp;WINDOWS!$B50&amp;",")</f>
        <v/>
      </c>
      <c r="D140" s="412" t="str">
        <f>IF(WINDOWS!$C50="","","! for Project Cons. Name: "&amp;WINDOWS!$C50)</f>
        <v/>
      </c>
    </row>
    <row r="141" spans="1:4">
      <c r="A141" s="412" t="str">
        <f>IF(WINDOWS!$C21="","",IF(WINDOWS!$T21="","","   "&amp;IF(WINDOWS!$E21="",WINDOWS!$S21,WINDOWS!$R21)&amp;" "&amp;WINDOWS!$T21&amp;IF(WINDOWS!$X21="",";",",")))</f>
        <v xml:space="preserve">    CLEAR 6MM;</v>
      </c>
      <c r="B141" s="412" t="str">
        <f>IF(WINDOWS!$C21="","","! Layer 3")</f>
        <v>! Layer 3</v>
      </c>
      <c r="C141" s="412" t="str">
        <f>IF(WINDOWS!$C50="","",IF(WINDOWS!$L50="","","   "&amp;IF(WINDOWS!$E50="",WINDOWS!$K50,WINDOWS!$J50)&amp;" "&amp;WINDOWS!$L50&amp;IF(WINDOWS!$P50="",";",",")))</f>
        <v/>
      </c>
      <c r="D141" s="412" t="str">
        <f>IF(WINDOWS!$C50="","","! Layer 1")</f>
        <v/>
      </c>
    </row>
    <row r="142" spans="1:4">
      <c r="A142" s="412" t="str">
        <f>IF(WINDOWS!$C21="","",IF(WINDOWS!$X21="","","   "&amp;IF(WINDOWS!$E21="",WINDOWS!$W21,WINDOWS!$V21)&amp;" "&amp;WINDOWS!$X21&amp;IF(WINDOWS!$AB21="",";",",")))</f>
        <v/>
      </c>
      <c r="B142" s="412" t="str">
        <f>IF(WINDOWS!$C21="","","! Layer 4")</f>
        <v>! Layer 4</v>
      </c>
      <c r="C142" s="412" t="str">
        <f>IF(WINDOWS!$C50="","",IF(WINDOWS!$P50="","","   "&amp;IF(WINDOWS!$E50="",WINDOWS!$O50,WINDOWS!$N50)&amp;" "&amp;WINDOWS!$P50&amp;IF(WINDOWS!$T50="",";",",")))</f>
        <v/>
      </c>
      <c r="D142" s="412" t="str">
        <f>IF(WINDOWS!$C50="","","! Layer 2")</f>
        <v/>
      </c>
    </row>
    <row r="143" spans="1:4">
      <c r="A143" s="412" t="str">
        <f>IF(WINDOWS!$C21="","",IF(WINDOWS!$AB21="","","   "&amp;IF(WINDOWS!$E21="",WINDOWS!$AA21,WINDOWS!$Z21)&amp;" "&amp;WINDOWS!$AB21&amp;IF(WINDOWS!$AF21="",";",",")))</f>
        <v/>
      </c>
      <c r="B143" s="412" t="str">
        <f>IF(WINDOWS!$C21="","","! Layer 5")</f>
        <v>! Layer 5</v>
      </c>
      <c r="C143" s="412" t="str">
        <f>IF(WINDOWS!$C50="","",IF(WINDOWS!$T50="","","   "&amp;IF(WINDOWS!$E50="",WINDOWS!$S50,WINDOWS!$R50)&amp;" "&amp;WINDOWS!$T50&amp;IF(WINDOWS!$X50="",";",",")))</f>
        <v/>
      </c>
      <c r="D143" s="412" t="str">
        <f>IF(WINDOWS!$C50="","","! Layer 3")</f>
        <v/>
      </c>
    </row>
    <row r="144" spans="1:4">
      <c r="A144" s="412" t="str">
        <f>IF(WINDOWS!$C21="","",IF(WINDOWS!$AF21="","","   "&amp;IF(WINDOWS!$E21="",WINDOWS!$AE21,WINDOWS!$AD21)&amp;" "&amp;WINDOWS!$AF21&amp;IF(WINDOWS!$AJ21="",";",",")))</f>
        <v/>
      </c>
      <c r="B144" s="412" t="str">
        <f>IF(WINDOWS!$C21="","","! Layer 6")</f>
        <v>! Layer 6</v>
      </c>
      <c r="C144" s="412" t="str">
        <f>IF(WINDOWS!$C50="","",IF(WINDOWS!$X50="","","   "&amp;IF(WINDOWS!$E50="",WINDOWS!$W50,WINDOWS!$V50)&amp;" "&amp;WINDOWS!$X50&amp;IF(WINDOWS!$AB50="",";",",")))</f>
        <v/>
      </c>
      <c r="D144" s="412" t="str">
        <f>IF(WINDOWS!$C50="","","! Layer 4")</f>
        <v/>
      </c>
    </row>
    <row r="145" spans="1:4">
      <c r="A145" s="412" t="str">
        <f>IF(WINDOWS!$C21="","",IF(WINDOWS!$AJ21="","","   "&amp;IF(WINDOWS!$E21="",WINDOWS!$AI21,WINDOWS!$AH21)&amp;" "&amp;WINDOWS!$AJ21&amp;";"))</f>
        <v/>
      </c>
      <c r="B145" s="412" t="str">
        <f>IF(WINDOWS!$C21="","","! Layer 7")</f>
        <v>! Layer 7</v>
      </c>
      <c r="C145" s="412" t="str">
        <f>IF(WINDOWS!$C50="","",IF(WINDOWS!$AB50="","","   "&amp;IF(WINDOWS!$E50="",WINDOWS!$AA50,WINDOWS!$Z50)&amp;" "&amp;WINDOWS!$AB50&amp;IF(WINDOWS!$AF50="",";",",")))</f>
        <v/>
      </c>
      <c r="D145" s="412" t="str">
        <f>IF(WINDOWS!$C50="","","! Layer 5")</f>
        <v/>
      </c>
    </row>
    <row r="146" spans="1:4">
      <c r="A146" s="412"/>
      <c r="B146" s="412"/>
      <c r="C146" s="412" t="str">
        <f>IF(WINDOWS!$C50="","",IF(WINDOWS!$AF50="","","   "&amp;IF(WINDOWS!$E50="",WINDOWS!$AE50,WINDOWS!$AD50)&amp;" "&amp;WINDOWS!$AF50&amp;IF(WINDOWS!$AJ50="",";",",")))</f>
        <v/>
      </c>
      <c r="D146" s="412" t="str">
        <f>IF(WINDOWS!$C50="","","! Layer 6")</f>
        <v/>
      </c>
    </row>
    <row r="147" spans="1:4">
      <c r="A147" s="412" t="str">
        <f>IF(WINDOWS!$C22="","","Construction")</f>
        <v>Construction</v>
      </c>
      <c r="B147" s="412" t="str">
        <f>IF(WINDOWS!$C22="","",IF(WINDOWS!$D22="","! User defined window construction from spreadheet WINDOWS,","! Based on E+ dataset "&amp;WINDOWS!$E22&amp;". "))</f>
        <v xml:space="preserve">! Based on E+ dataset Dbl LoE (e2=.2) Clr 6mm/13mm Air. </v>
      </c>
      <c r="C147" s="412" t="str">
        <f>IF(WINDOWS!$C50="","",IF(WINDOWS!$AJ50="","","   "&amp;IF(WINDOWS!$E50="",WINDOWS!$AI50,WINDOWS!$AH50)&amp;" "&amp;WINDOWS!$AJ50&amp;";"))</f>
        <v/>
      </c>
      <c r="D147" s="412" t="str">
        <f>IF(WINDOWS!$C50="","","! Layer 7")</f>
        <v/>
      </c>
    </row>
    <row r="148" spans="1:4">
      <c r="A148" s="412" t="str">
        <f>IF(WINDOWS!$C22="","","    Window Cons. "&amp;WINDOWS!$B22&amp;",")</f>
        <v xml:space="preserve">    Window Cons. 15,</v>
      </c>
      <c r="B148" s="412" t="str">
        <f>IF(WINDOWS!$C22="","","! for Project Cons. Name: "&amp;WINDOWS!$C22)</f>
        <v>! for Project Cons. Name: G15</v>
      </c>
      <c r="C148" s="412"/>
      <c r="D148" s="412"/>
    </row>
    <row r="149" spans="1:4">
      <c r="A149" s="412" t="str">
        <f>IF(WINDOWS!$C22="","",IF(WINDOWS!$L22="","","   "&amp;IF(WINDOWS!$E22="",WINDOWS!$K22,WINDOWS!$J22)&amp;" "&amp;WINDOWS!$L22&amp;IF(WINDOWS!$P22="",";",",")))</f>
        <v xml:space="preserve">    PYR B CLEAR 6MM,</v>
      </c>
      <c r="B149" s="412" t="str">
        <f>IF(WINDOWS!$C22="","","! Layer 1")</f>
        <v>! Layer 1</v>
      </c>
      <c r="C149" s="412" t="str">
        <f>IF(WINDOWS!$C51="","","Construction")</f>
        <v/>
      </c>
      <c r="D149" s="412" t="str">
        <f>IF(WINDOWS!$C51="","",IF(WINDOWS!$D51="","! User defined window construction from spreadheet WINDOWS,","! Based on E+ dataset "&amp;WINDOWS!$E51&amp;". "))</f>
        <v/>
      </c>
    </row>
    <row r="150" spans="1:4">
      <c r="A150" s="412" t="str">
        <f>IF(WINDOWS!$C22="","",IF(WINDOWS!$P22="","","   "&amp;IF(WINDOWS!$E22="",WINDOWS!$O22,WINDOWS!$N22)&amp;" "&amp;WINDOWS!$P22&amp;IF(WINDOWS!$T22="",";",",")))</f>
        <v xml:space="preserve">    AIR 13MM,</v>
      </c>
      <c r="B150" s="412" t="str">
        <f>IF(WINDOWS!$C22="","","! Layer 2")</f>
        <v>! Layer 2</v>
      </c>
      <c r="C150" s="412" t="str">
        <f>IF(WINDOWS!$C51="","","    Window Cons. "&amp;WINDOWS!$B51&amp;",")</f>
        <v/>
      </c>
      <c r="D150" s="412" t="str">
        <f>IF(WINDOWS!$C51="","","! for Project Cons. Name: "&amp;WINDOWS!$C51)</f>
        <v/>
      </c>
    </row>
    <row r="151" spans="1:4">
      <c r="A151" s="412" t="str">
        <f>IF(WINDOWS!$C22="","",IF(WINDOWS!$T22="","","   "&amp;IF(WINDOWS!$E22="",WINDOWS!$S22,WINDOWS!$R22)&amp;" "&amp;WINDOWS!$T22&amp;IF(WINDOWS!$X22="",";",",")))</f>
        <v xml:space="preserve">    CLEAR 6MM;</v>
      </c>
      <c r="B151" s="412" t="str">
        <f>IF(WINDOWS!$C22="","","! Layer 3")</f>
        <v>! Layer 3</v>
      </c>
      <c r="C151" s="412" t="str">
        <f>IF(WINDOWS!$C51="","",IF(WINDOWS!$L51="","","   "&amp;IF(WINDOWS!$E51="",WINDOWS!$K51,WINDOWS!$J51)&amp;" "&amp;WINDOWS!$L51&amp;IF(WINDOWS!$P51="",";",",")))</f>
        <v/>
      </c>
      <c r="D151" s="412" t="str">
        <f>IF(WINDOWS!$C51="","","! Layer 1")</f>
        <v/>
      </c>
    </row>
    <row r="152" spans="1:4">
      <c r="A152" s="412" t="str">
        <f>IF(WINDOWS!$C22="","",IF(WINDOWS!$X22="","","   "&amp;IF(WINDOWS!$E22="",WINDOWS!$W22,WINDOWS!$V22)&amp;" "&amp;WINDOWS!$X22&amp;IF(WINDOWS!$AB22="",";",",")))</f>
        <v/>
      </c>
      <c r="B152" s="412" t="str">
        <f>IF(WINDOWS!$C22="","","! Layer 4")</f>
        <v>! Layer 4</v>
      </c>
      <c r="C152" s="412" t="str">
        <f>IF(WINDOWS!$C51="","",IF(WINDOWS!$P51="","","   "&amp;IF(WINDOWS!$E51="",WINDOWS!$O51,WINDOWS!$N51)&amp;" "&amp;WINDOWS!$P51&amp;IF(WINDOWS!$T51="",";",",")))</f>
        <v/>
      </c>
      <c r="D152" s="412" t="str">
        <f>IF(WINDOWS!$C51="","","! Layer 2")</f>
        <v/>
      </c>
    </row>
    <row r="153" spans="1:4">
      <c r="A153" s="412" t="str">
        <f>IF(WINDOWS!$C22="","",IF(WINDOWS!$AB22="","","   "&amp;IF(WINDOWS!$E22="",WINDOWS!$AA22,WINDOWS!$Z22)&amp;" "&amp;WINDOWS!$AB22&amp;IF(WINDOWS!$AF22="",";",",")))</f>
        <v/>
      </c>
      <c r="B153" s="412" t="str">
        <f>IF(WINDOWS!$C22="","","! Layer 5")</f>
        <v>! Layer 5</v>
      </c>
      <c r="C153" s="412" t="str">
        <f>IF(WINDOWS!$C51="","",IF(WINDOWS!$T51="","","   "&amp;IF(WINDOWS!$E51="",WINDOWS!$S51,WINDOWS!$R51)&amp;" "&amp;WINDOWS!$T51&amp;IF(WINDOWS!$X51="",";",",")))</f>
        <v/>
      </c>
      <c r="D153" s="412" t="str">
        <f>IF(WINDOWS!$C51="","","! Layer 3")</f>
        <v/>
      </c>
    </row>
    <row r="154" spans="1:4">
      <c r="A154" s="412" t="str">
        <f>IF(WINDOWS!$C22="","",IF(WINDOWS!$AF22="","","   "&amp;IF(WINDOWS!$E22="",WINDOWS!$AE22,WINDOWS!$AD22)&amp;" "&amp;WINDOWS!$AF22&amp;IF(WINDOWS!$AJ22="",";",",")))</f>
        <v/>
      </c>
      <c r="B154" s="412" t="str">
        <f>IF(WINDOWS!$C22="","","! Layer 6")</f>
        <v>! Layer 6</v>
      </c>
      <c r="C154" s="412" t="str">
        <f>IF(WINDOWS!$C51="","",IF(WINDOWS!$X51="","","   "&amp;IF(WINDOWS!$E51="",WINDOWS!$W51,WINDOWS!$V51)&amp;" "&amp;WINDOWS!$X51&amp;IF(WINDOWS!$AB51="",";",",")))</f>
        <v/>
      </c>
      <c r="D154" s="412" t="str">
        <f>IF(WINDOWS!$C51="","","! Layer 4")</f>
        <v/>
      </c>
    </row>
    <row r="155" spans="1:4">
      <c r="A155" s="412" t="str">
        <f>IF(WINDOWS!$C22="","",IF(WINDOWS!$AJ22="","","   "&amp;IF(WINDOWS!$E22="",WINDOWS!$AI22,WINDOWS!$AH22)&amp;" "&amp;WINDOWS!$AJ22&amp;";"))</f>
        <v/>
      </c>
      <c r="B155" s="412" t="str">
        <f>IF(WINDOWS!$C22="","","! Layer 7")</f>
        <v>! Layer 7</v>
      </c>
      <c r="C155" s="412" t="str">
        <f>IF(WINDOWS!$C51="","",IF(WINDOWS!$AB51="","","   "&amp;IF(WINDOWS!$E51="",WINDOWS!$AA51,WINDOWS!$Z51)&amp;" "&amp;WINDOWS!$AB51&amp;IF(WINDOWS!$AF51="",";",",")))</f>
        <v/>
      </c>
      <c r="D155" s="412" t="str">
        <f>IF(WINDOWS!$C51="","","! Layer 5")</f>
        <v/>
      </c>
    </row>
    <row r="156" spans="1:4">
      <c r="A156" s="412"/>
      <c r="B156" s="412"/>
      <c r="C156" s="412" t="str">
        <f>IF(WINDOWS!$C51="","",IF(WINDOWS!$AF51="","","   "&amp;IF(WINDOWS!$E51="",WINDOWS!$AE51,WINDOWS!$AD51)&amp;" "&amp;WINDOWS!$AF51&amp;IF(WINDOWS!$AJ51="",";",",")))</f>
        <v/>
      </c>
      <c r="D156" s="412" t="str">
        <f>IF(WINDOWS!$C51="","","! Layer 6")</f>
        <v/>
      </c>
    </row>
    <row r="157" spans="1:4">
      <c r="A157" s="412" t="str">
        <f>IF(WINDOWS!$C23="","","Construction")</f>
        <v>Construction</v>
      </c>
      <c r="B157" s="412" t="str">
        <f>IF(WINDOWS!$C23="","",IF(WINDOWS!$D23="","! User defined window construction from spreadheet WINDOWS,","! Based on E+ dataset "&amp;WINDOWS!$E23&amp;". "))</f>
        <v xml:space="preserve">! Based on E+ dataset Dbl LoE (e2=.1) Tint 6mm/13mm Arg. </v>
      </c>
      <c r="C157" s="412" t="str">
        <f>IF(WINDOWS!$C51="","",IF(WINDOWS!$AJ51="","","   "&amp;IF(WINDOWS!$E51="",WINDOWS!$AI51,WINDOWS!$AH51)&amp;" "&amp;WINDOWS!$AJ51&amp;";"))</f>
        <v/>
      </c>
      <c r="D157" s="412" t="str">
        <f>IF(WINDOWS!$C51="","","! Layer 7")</f>
        <v/>
      </c>
    </row>
    <row r="158" spans="1:4">
      <c r="A158" s="412" t="str">
        <f>IF(WINDOWS!$C23="","","    Window Cons. "&amp;WINDOWS!$B23&amp;",")</f>
        <v xml:space="preserve">    Window Cons. 16,</v>
      </c>
      <c r="B158" s="412" t="str">
        <f>IF(WINDOWS!$C23="","","! for Project Cons. Name: "&amp;WINDOWS!$C23)</f>
        <v>! for Project Cons. Name: G16</v>
      </c>
      <c r="C158" s="412"/>
      <c r="D158" s="412"/>
    </row>
    <row r="159" spans="1:4">
      <c r="A159" s="412" t="str">
        <f>IF(WINDOWS!$C23="","",IF(WINDOWS!$L23="","","   "&amp;IF(WINDOWS!$E23="",WINDOWS!$K23,WINDOWS!$J23)&amp;" "&amp;WINDOWS!$L23&amp;IF(WINDOWS!$P23="",";",",")))</f>
        <v xml:space="preserve">    LoE TINT 6MM,</v>
      </c>
      <c r="B159" s="412" t="str">
        <f>IF(WINDOWS!$C23="","","! Layer 1")</f>
        <v>! Layer 1</v>
      </c>
      <c r="C159" s="412" t="str">
        <f>IF(WINDOWS!$C52="","","Construction")</f>
        <v/>
      </c>
      <c r="D159" s="412" t="str">
        <f>IF(WINDOWS!$C52="","",IF(WINDOWS!$D52="","! User defined window construction from spreadheet WINDOWS,","! Based on E+ dataset "&amp;WINDOWS!$E52&amp;". "))</f>
        <v/>
      </c>
    </row>
    <row r="160" spans="1:4">
      <c r="A160" s="412" t="str">
        <f>IF(WINDOWS!$C23="","",IF(WINDOWS!$P23="","","   "&amp;IF(WINDOWS!$E23="",WINDOWS!$O23,WINDOWS!$N23)&amp;" "&amp;WINDOWS!$P23&amp;IF(WINDOWS!$T23="",";",",")))</f>
        <v xml:space="preserve">    ARGON 13MM,</v>
      </c>
      <c r="B160" s="412" t="str">
        <f>IF(WINDOWS!$C23="","","! Layer 2")</f>
        <v>! Layer 2</v>
      </c>
      <c r="C160" s="412" t="str">
        <f>IF(WINDOWS!$C52="","","    Window Cons. "&amp;WINDOWS!$B52&amp;",")</f>
        <v/>
      </c>
      <c r="D160" s="412" t="str">
        <f>IF(WINDOWS!$C52="","","! for Project Cons. Name: "&amp;WINDOWS!$C52)</f>
        <v/>
      </c>
    </row>
    <row r="161" spans="1:4">
      <c r="A161" s="412" t="str">
        <f>IF(WINDOWS!$C23="","",IF(WINDOWS!$T23="","","   "&amp;IF(WINDOWS!$E23="",WINDOWS!$S23,WINDOWS!$R23)&amp;" "&amp;WINDOWS!$T23&amp;IF(WINDOWS!$X23="",";",",")))</f>
        <v xml:space="preserve">    CLEAR 6MM;</v>
      </c>
      <c r="B161" s="412" t="str">
        <f>IF(WINDOWS!$C23="","","! Layer 3")</f>
        <v>! Layer 3</v>
      </c>
      <c r="C161" s="412" t="str">
        <f>IF(WINDOWS!$C52="","",IF(WINDOWS!$L52="","","   "&amp;IF(WINDOWS!$E52="",WINDOWS!$K52,WINDOWS!$J52)&amp;" "&amp;WINDOWS!$L52&amp;IF(WINDOWS!$P52="",";",",")))</f>
        <v/>
      </c>
      <c r="D161" s="412" t="str">
        <f>IF(WINDOWS!$C52="","","! Layer 1")</f>
        <v/>
      </c>
    </row>
    <row r="162" spans="1:4">
      <c r="A162" s="412" t="str">
        <f>IF(WINDOWS!$C23="","",IF(WINDOWS!$X23="","","   "&amp;IF(WINDOWS!$E23="",WINDOWS!$W23,WINDOWS!$V23)&amp;" "&amp;WINDOWS!$X23&amp;IF(WINDOWS!$AB23="",";",",")))</f>
        <v/>
      </c>
      <c r="B162" s="412" t="str">
        <f>IF(WINDOWS!$C23="","","! Layer 4")</f>
        <v>! Layer 4</v>
      </c>
      <c r="C162" s="412" t="str">
        <f>IF(WINDOWS!$C52="","",IF(WINDOWS!$P52="","","   "&amp;IF(WINDOWS!$E52="",WINDOWS!$O52,WINDOWS!$N52)&amp;" "&amp;WINDOWS!$P52&amp;IF(WINDOWS!$T52="",";",",")))</f>
        <v/>
      </c>
      <c r="D162" s="412" t="str">
        <f>IF(WINDOWS!$C52="","","! Layer 2")</f>
        <v/>
      </c>
    </row>
    <row r="163" spans="1:4">
      <c r="A163" s="412" t="str">
        <f>IF(WINDOWS!$C23="","",IF(WINDOWS!$AB23="","","   "&amp;IF(WINDOWS!$E23="",WINDOWS!$AA23,WINDOWS!$Z23)&amp;" "&amp;WINDOWS!$AB23&amp;IF(WINDOWS!$AF23="",";",",")))</f>
        <v/>
      </c>
      <c r="B163" s="412" t="str">
        <f>IF(WINDOWS!$C23="","","! Layer 5")</f>
        <v>! Layer 5</v>
      </c>
      <c r="C163" s="412" t="str">
        <f>IF(WINDOWS!$C52="","",IF(WINDOWS!$T52="","","   "&amp;IF(WINDOWS!$E52="",WINDOWS!$S52,WINDOWS!$R52)&amp;" "&amp;WINDOWS!$T52&amp;IF(WINDOWS!$X52="",";",",")))</f>
        <v/>
      </c>
      <c r="D163" s="412" t="str">
        <f>IF(WINDOWS!$C52="","","! Layer 3")</f>
        <v/>
      </c>
    </row>
    <row r="164" spans="1:4">
      <c r="A164" s="412" t="str">
        <f>IF(WINDOWS!$C23="","",IF(WINDOWS!$AF23="","","   "&amp;IF(WINDOWS!$E23="",WINDOWS!$AE23,WINDOWS!$AD23)&amp;" "&amp;WINDOWS!$AF23&amp;IF(WINDOWS!$AJ23="",";",",")))</f>
        <v/>
      </c>
      <c r="B164" s="412" t="str">
        <f>IF(WINDOWS!$C23="","","! Layer 6")</f>
        <v>! Layer 6</v>
      </c>
      <c r="C164" s="412" t="str">
        <f>IF(WINDOWS!$C52="","",IF(WINDOWS!$X52="","","   "&amp;IF(WINDOWS!$E52="",WINDOWS!$W52,WINDOWS!$V52)&amp;" "&amp;WINDOWS!$X52&amp;IF(WINDOWS!$AB52="",";",",")))</f>
        <v/>
      </c>
      <c r="D164" s="412" t="str">
        <f>IF(WINDOWS!$C52="","","! Layer 4")</f>
        <v/>
      </c>
    </row>
    <row r="165" spans="1:4">
      <c r="A165" s="412" t="str">
        <f>IF(WINDOWS!$C23="","",IF(WINDOWS!$AJ23="","","   "&amp;IF(WINDOWS!$E23="",WINDOWS!$AI23,WINDOWS!$AH23)&amp;" "&amp;WINDOWS!$AJ23&amp;";"))</f>
        <v/>
      </c>
      <c r="B165" s="412" t="str">
        <f>IF(WINDOWS!$C23="","","! Layer 7")</f>
        <v>! Layer 7</v>
      </c>
      <c r="C165" s="412" t="str">
        <f>IF(WINDOWS!$C52="","",IF(WINDOWS!$AB52="","","   "&amp;IF(WINDOWS!$E52="",WINDOWS!$AA52,WINDOWS!$Z52)&amp;" "&amp;WINDOWS!$AB52&amp;IF(WINDOWS!$AF52="",";",",")))</f>
        <v/>
      </c>
      <c r="D165" s="412" t="str">
        <f>IF(WINDOWS!$C52="","","! Layer 5")</f>
        <v/>
      </c>
    </row>
    <row r="166" spans="1:4">
      <c r="A166" s="412"/>
      <c r="B166" s="412"/>
      <c r="C166" s="412" t="str">
        <f>IF(WINDOWS!$C52="","",IF(WINDOWS!$AF52="","","   "&amp;IF(WINDOWS!$E52="",WINDOWS!$AE52,WINDOWS!$AD52)&amp;" "&amp;WINDOWS!$AF52&amp;IF(WINDOWS!$AJ52="",";",",")))</f>
        <v/>
      </c>
      <c r="D166" s="412" t="str">
        <f>IF(WINDOWS!$C52="","","! Layer 6")</f>
        <v/>
      </c>
    </row>
    <row r="167" spans="1:4">
      <c r="A167" s="412" t="str">
        <f>IF(WINDOWS!$C24="","","Construction")</f>
        <v>Construction</v>
      </c>
      <c r="B167" s="412" t="str">
        <f>IF(WINDOWS!$C24="","",IF(WINDOWS!$D24="","! User defined window construction from spreadheet WINDOWS,","! Based on E+ dataset "&amp;WINDOWS!$E24&amp;". "))</f>
        <v xml:space="preserve">! Based on E+ dataset Dbl LoE Spec Sel Tint 6mm/6mm Air. </v>
      </c>
      <c r="C167" s="412" t="str">
        <f>IF(WINDOWS!$C52="","",IF(WINDOWS!$AJ52="","","   "&amp;IF(WINDOWS!$E52="",WINDOWS!$AI52,WINDOWS!$AH52)&amp;" "&amp;WINDOWS!$AJ52&amp;";"))</f>
        <v/>
      </c>
      <c r="D167" s="412" t="str">
        <f>IF(WINDOWS!$C52="","","! Layer 7")</f>
        <v/>
      </c>
    </row>
    <row r="168" spans="1:4">
      <c r="A168" s="412" t="str">
        <f>IF(WINDOWS!$C24="","","    Window Cons. "&amp;WINDOWS!$B24&amp;",")</f>
        <v xml:space="preserve">    Window Cons. 17,</v>
      </c>
      <c r="B168" s="412" t="str">
        <f>IF(WINDOWS!$C24="","","! for Project Cons. Name: "&amp;WINDOWS!$C24)</f>
        <v>! for Project Cons. Name: G17</v>
      </c>
      <c r="C168" s="412"/>
      <c r="D168" s="412"/>
    </row>
    <row r="169" spans="1:4">
      <c r="A169" s="412" t="str">
        <f>IF(WINDOWS!$C24="","",IF(WINDOWS!$L24="","","   "&amp;IF(WINDOWS!$E24="",WINDOWS!$K24,WINDOWS!$J24)&amp;" "&amp;WINDOWS!$L24&amp;IF(WINDOWS!$P24="",";",",")))</f>
        <v xml:space="preserve">    LoE SPEC SEL TINT 6MM,</v>
      </c>
      <c r="B169" s="412" t="str">
        <f>IF(WINDOWS!$C24="","","! Layer 1")</f>
        <v>! Layer 1</v>
      </c>
      <c r="C169" s="412" t="str">
        <f>IF(WINDOWS!$C53="","","Construction")</f>
        <v/>
      </c>
      <c r="D169" s="412" t="str">
        <f>IF(WINDOWS!$C53="","",IF(WINDOWS!$D53="","! User defined window construction from spreadheet WINDOWS,","! Based on E+ dataset "&amp;WINDOWS!$E53&amp;". "))</f>
        <v/>
      </c>
    </row>
    <row r="170" spans="1:4">
      <c r="A170" s="412" t="str">
        <f>IF(WINDOWS!$C24="","",IF(WINDOWS!$P24="","","   "&amp;IF(WINDOWS!$E24="",WINDOWS!$O24,WINDOWS!$N24)&amp;" "&amp;WINDOWS!$P24&amp;IF(WINDOWS!$T24="",";",",")))</f>
        <v xml:space="preserve">    AIR 6MM,</v>
      </c>
      <c r="B170" s="412" t="str">
        <f>IF(WINDOWS!$C24="","","! Layer 2")</f>
        <v>! Layer 2</v>
      </c>
      <c r="C170" s="412" t="str">
        <f>IF(WINDOWS!$C53="","","    Window Cons. "&amp;WINDOWS!$B53&amp;",")</f>
        <v/>
      </c>
      <c r="D170" s="412" t="str">
        <f>IF(WINDOWS!$C53="","","! for Project Cons. Name: "&amp;WINDOWS!$C53)</f>
        <v/>
      </c>
    </row>
    <row r="171" spans="1:4">
      <c r="A171" s="412" t="str">
        <f>IF(WINDOWS!$C24="","",IF(WINDOWS!$T24="","","   "&amp;IF(WINDOWS!$E24="",WINDOWS!$S24,WINDOWS!$R24)&amp;" "&amp;WINDOWS!$T24&amp;IF(WINDOWS!$X24="",";",",")))</f>
        <v xml:space="preserve">    CLEAR 6MM;</v>
      </c>
      <c r="B171" s="412" t="str">
        <f>IF(WINDOWS!$C24="","","! Layer 3")</f>
        <v>! Layer 3</v>
      </c>
      <c r="C171" s="412" t="str">
        <f>IF(WINDOWS!$C53="","",IF(WINDOWS!$L53="","","   "&amp;IF(WINDOWS!$E53="",WINDOWS!$K53,WINDOWS!$J53)&amp;" "&amp;WINDOWS!$L53&amp;IF(WINDOWS!$P53="",";",",")))</f>
        <v/>
      </c>
      <c r="D171" s="412" t="str">
        <f>IF(WINDOWS!$C53="","","! Layer 1")</f>
        <v/>
      </c>
    </row>
    <row r="172" spans="1:4">
      <c r="A172" s="412" t="str">
        <f>IF(WINDOWS!$C24="","",IF(WINDOWS!$X24="","","   "&amp;IF(WINDOWS!$E24="",WINDOWS!$W24,WINDOWS!$V24)&amp;" "&amp;WINDOWS!$X24&amp;IF(WINDOWS!$AB24="",";",",")))</f>
        <v/>
      </c>
      <c r="B172" s="412" t="str">
        <f>IF(WINDOWS!$C24="","","! Layer 4")</f>
        <v>! Layer 4</v>
      </c>
      <c r="C172" s="412" t="str">
        <f>IF(WINDOWS!$C53="","",IF(WINDOWS!$P53="","","   "&amp;IF(WINDOWS!$E53="",WINDOWS!$O53,WINDOWS!$N53)&amp;" "&amp;WINDOWS!$P53&amp;IF(WINDOWS!$T53="",";",",")))</f>
        <v/>
      </c>
      <c r="D172" s="412" t="str">
        <f>IF(WINDOWS!$C53="","","! Layer 2")</f>
        <v/>
      </c>
    </row>
    <row r="173" spans="1:4">
      <c r="A173" s="412" t="str">
        <f>IF(WINDOWS!$C24="","",IF(WINDOWS!$AB24="","","   "&amp;IF(WINDOWS!$E24="",WINDOWS!$AA24,WINDOWS!$Z24)&amp;" "&amp;WINDOWS!$AB24&amp;IF(WINDOWS!$AF24="",";",",")))</f>
        <v/>
      </c>
      <c r="B173" s="412" t="str">
        <f>IF(WINDOWS!$C24="","","! Layer 5")</f>
        <v>! Layer 5</v>
      </c>
      <c r="C173" s="412" t="str">
        <f>IF(WINDOWS!$C53="","",IF(WINDOWS!$T53="","","   "&amp;IF(WINDOWS!$E53="",WINDOWS!$S53,WINDOWS!$R53)&amp;" "&amp;WINDOWS!$T53&amp;IF(WINDOWS!$X53="",";",",")))</f>
        <v/>
      </c>
      <c r="D173" s="412" t="str">
        <f>IF(WINDOWS!$C53="","","! Layer 3")</f>
        <v/>
      </c>
    </row>
    <row r="174" spans="1:4">
      <c r="A174" s="412" t="str">
        <f>IF(WINDOWS!$C24="","",IF(WINDOWS!$AF24="","","   "&amp;IF(WINDOWS!$E24="",WINDOWS!$AE24,WINDOWS!$AD24)&amp;" "&amp;WINDOWS!$AF24&amp;IF(WINDOWS!$AJ24="",";",",")))</f>
        <v/>
      </c>
      <c r="B174" s="412" t="str">
        <f>IF(WINDOWS!$C24="","","! Layer 6")</f>
        <v>! Layer 6</v>
      </c>
      <c r="C174" s="412" t="str">
        <f>IF(WINDOWS!$C53="","",IF(WINDOWS!$X53="","","   "&amp;IF(WINDOWS!$E53="",WINDOWS!$W53,WINDOWS!$V53)&amp;" "&amp;WINDOWS!$X53&amp;IF(WINDOWS!$AB53="",";",",")))</f>
        <v/>
      </c>
      <c r="D174" s="412" t="str">
        <f>IF(WINDOWS!$C53="","","! Layer 4")</f>
        <v/>
      </c>
    </row>
    <row r="175" spans="1:4">
      <c r="A175" s="412" t="str">
        <f>IF(WINDOWS!$C24="","",IF(WINDOWS!$AJ24="","","   "&amp;IF(WINDOWS!$E24="",WINDOWS!$AI24,WINDOWS!$AH24)&amp;" "&amp;WINDOWS!$AJ24&amp;";"))</f>
        <v/>
      </c>
      <c r="B175" s="412" t="str">
        <f>IF(WINDOWS!$C24="","","! Layer 7")</f>
        <v>! Layer 7</v>
      </c>
      <c r="C175" s="412" t="str">
        <f>IF(WINDOWS!$C53="","",IF(WINDOWS!$AB53="","","   "&amp;IF(WINDOWS!$E53="",WINDOWS!$AA53,WINDOWS!$Z53)&amp;" "&amp;WINDOWS!$AB53&amp;IF(WINDOWS!$AF53="",";",",")))</f>
        <v/>
      </c>
      <c r="D175" s="412" t="str">
        <f>IF(WINDOWS!$C53="","","! Layer 5")</f>
        <v/>
      </c>
    </row>
    <row r="176" spans="1:4">
      <c r="A176" s="412"/>
      <c r="B176" s="412"/>
      <c r="C176" s="412" t="str">
        <f>IF(WINDOWS!$C53="","",IF(WINDOWS!$AF53="","","   "&amp;IF(WINDOWS!$E53="",WINDOWS!$AE53,WINDOWS!$AD53)&amp;" "&amp;WINDOWS!$AF53&amp;IF(WINDOWS!$AJ53="",";",",")))</f>
        <v/>
      </c>
      <c r="D176" s="412" t="str">
        <f>IF(WINDOWS!$C53="","","! Layer 6")</f>
        <v/>
      </c>
    </row>
    <row r="177" spans="1:4">
      <c r="A177" s="412" t="str">
        <f>IF(WINDOWS!$C25="","","Construction")</f>
        <v>Construction</v>
      </c>
      <c r="B177" s="412" t="str">
        <f>IF(WINDOWS!$C25="","",IF(WINDOWS!$D25="","! User defined window construction from spreadheet WINDOWS,","! Based on E+ dataset "&amp;WINDOWS!$E25&amp;". "))</f>
        <v xml:space="preserve">! Based on E+ dataset Dbl Elec Ref Colored 6mm/6mm Air. </v>
      </c>
      <c r="C177" s="412" t="str">
        <f>IF(WINDOWS!$C53="","",IF(WINDOWS!$AJ53="","","   "&amp;IF(WINDOWS!$E53="",WINDOWS!$AI53,WINDOWS!$AH53)&amp;" "&amp;WINDOWS!$AJ53&amp;";"))</f>
        <v/>
      </c>
      <c r="D177" s="412" t="str">
        <f>IF(WINDOWS!$C53="","","! Layer 7")</f>
        <v/>
      </c>
    </row>
    <row r="178" spans="1:4">
      <c r="A178" s="412" t="str">
        <f>IF(WINDOWS!$C25="","","    Window Cons. "&amp;WINDOWS!$B25&amp;",")</f>
        <v xml:space="preserve">    Window Cons. 18,</v>
      </c>
      <c r="B178" s="412" t="str">
        <f>IF(WINDOWS!$C25="","","! for Project Cons. Name: "&amp;WINDOWS!$C25)</f>
        <v>! for Project Cons. Name: G18</v>
      </c>
      <c r="C178" s="412"/>
      <c r="D178" s="412"/>
    </row>
    <row r="179" spans="1:4">
      <c r="A179" s="412" t="str">
        <f>IF(WINDOWS!$C25="","",IF(WINDOWS!$L25="","","   "&amp;IF(WINDOWS!$E25="",WINDOWS!$K25,WINDOWS!$J25)&amp;" "&amp;WINDOWS!$L25&amp;IF(WINDOWS!$P25="",";",",")))</f>
        <v xml:space="preserve">    ECREF-2 COLORED 6MM,</v>
      </c>
      <c r="B179" s="412" t="str">
        <f>IF(WINDOWS!$C25="","","! Layer 1")</f>
        <v>! Layer 1</v>
      </c>
      <c r="C179" s="412" t="str">
        <f>IF(WINDOWS!$C54="","","Construction")</f>
        <v/>
      </c>
      <c r="D179" s="412" t="str">
        <f>IF(WINDOWS!$C54="","",IF(WINDOWS!$D54="","! User defined window construction from spreadheet WINDOWS,","! Based on E+ dataset "&amp;WINDOWS!$E54&amp;". "))</f>
        <v/>
      </c>
    </row>
    <row r="180" spans="1:4">
      <c r="A180" s="412" t="str">
        <f>IF(WINDOWS!$C25="","",IF(WINDOWS!$P25="","","   "&amp;IF(WINDOWS!$E25="",WINDOWS!$O25,WINDOWS!$N25)&amp;" "&amp;WINDOWS!$P25&amp;IF(WINDOWS!$T25="",";",",")))</f>
        <v xml:space="preserve">    AIR 6MM,</v>
      </c>
      <c r="B180" s="412" t="str">
        <f>IF(WINDOWS!$C25="","","! Layer 2")</f>
        <v>! Layer 2</v>
      </c>
      <c r="C180" s="412" t="str">
        <f>IF(WINDOWS!$C54="","","    Window Cons. "&amp;WINDOWS!$B54&amp;",")</f>
        <v/>
      </c>
      <c r="D180" s="412" t="str">
        <f>IF(WINDOWS!$C54="","","! for Project Cons. Name: "&amp;WINDOWS!$C54)</f>
        <v/>
      </c>
    </row>
    <row r="181" spans="1:4">
      <c r="A181" s="412" t="str">
        <f>IF(WINDOWS!$C25="","",IF(WINDOWS!$T25="","","   "&amp;IF(WINDOWS!$E25="",WINDOWS!$S25,WINDOWS!$R25)&amp;" "&amp;WINDOWS!$T25&amp;IF(WINDOWS!$X25="",";",",")))</f>
        <v xml:space="preserve">    CLEAR 6MM;</v>
      </c>
      <c r="B181" s="412" t="str">
        <f>IF(WINDOWS!$C25="","","! Layer 3")</f>
        <v>! Layer 3</v>
      </c>
      <c r="C181" s="412" t="str">
        <f>IF(WINDOWS!$C54="","",IF(WINDOWS!$L54="","","   "&amp;IF(WINDOWS!$E54="",WINDOWS!$K54,WINDOWS!$J54)&amp;" "&amp;WINDOWS!$L54&amp;IF(WINDOWS!$P54="",";",",")))</f>
        <v/>
      </c>
      <c r="D181" s="412" t="str">
        <f>IF(WINDOWS!$C54="","","! Layer 1")</f>
        <v/>
      </c>
    </row>
    <row r="182" spans="1:4">
      <c r="A182" s="412" t="str">
        <f>IF(WINDOWS!$C25="","",IF(WINDOWS!$X25="","","   "&amp;IF(WINDOWS!$E25="",WINDOWS!$W25,WINDOWS!$V25)&amp;" "&amp;WINDOWS!$X25&amp;IF(WINDOWS!$AB25="",";",",")))</f>
        <v/>
      </c>
      <c r="B182" s="412" t="str">
        <f>IF(WINDOWS!$C25="","","! Layer 4")</f>
        <v>! Layer 4</v>
      </c>
      <c r="C182" s="412" t="str">
        <f>IF(WINDOWS!$C54="","",IF(WINDOWS!$P54="","","   "&amp;IF(WINDOWS!$E54="",WINDOWS!$O54,WINDOWS!$N54)&amp;" "&amp;WINDOWS!$P54&amp;IF(WINDOWS!$T54="",";",",")))</f>
        <v/>
      </c>
      <c r="D182" s="412" t="str">
        <f>IF(WINDOWS!$C54="","","! Layer 2")</f>
        <v/>
      </c>
    </row>
    <row r="183" spans="1:4">
      <c r="A183" s="412" t="str">
        <f>IF(WINDOWS!$C25="","",IF(WINDOWS!$AB25="","","   "&amp;IF(WINDOWS!$E25="",WINDOWS!$AA25,WINDOWS!$Z25)&amp;" "&amp;WINDOWS!$AB25&amp;IF(WINDOWS!$AF25="",";",",")))</f>
        <v/>
      </c>
      <c r="B183" s="412" t="str">
        <f>IF(WINDOWS!$C25="","","! Layer 5")</f>
        <v>! Layer 5</v>
      </c>
      <c r="C183" s="412" t="str">
        <f>IF(WINDOWS!$C54="","",IF(WINDOWS!$T54="","","   "&amp;IF(WINDOWS!$E54="",WINDOWS!$S54,WINDOWS!$R54)&amp;" "&amp;WINDOWS!$T54&amp;IF(WINDOWS!$X54="",";",",")))</f>
        <v/>
      </c>
      <c r="D183" s="412" t="str">
        <f>IF(WINDOWS!$C54="","","! Layer 3")</f>
        <v/>
      </c>
    </row>
    <row r="184" spans="1:4">
      <c r="A184" s="412" t="str">
        <f>IF(WINDOWS!$C25="","",IF(WINDOWS!$AF25="","","   "&amp;IF(WINDOWS!$E25="",WINDOWS!$AE25,WINDOWS!$AD25)&amp;" "&amp;WINDOWS!$AF25&amp;IF(WINDOWS!$AJ25="",";",",")))</f>
        <v/>
      </c>
      <c r="B184" s="412" t="str">
        <f>IF(WINDOWS!$C25="","","! Layer 6")</f>
        <v>! Layer 6</v>
      </c>
      <c r="C184" s="412" t="str">
        <f>IF(WINDOWS!$C54="","",IF(WINDOWS!$X54="","","   "&amp;IF(WINDOWS!$E54="",WINDOWS!$W54,WINDOWS!$V54)&amp;" "&amp;WINDOWS!$X54&amp;IF(WINDOWS!$AB54="",";",",")))</f>
        <v/>
      </c>
      <c r="D184" s="412" t="str">
        <f>IF(WINDOWS!$C54="","","! Layer 4")</f>
        <v/>
      </c>
    </row>
    <row r="185" spans="1:4">
      <c r="A185" s="412" t="str">
        <f>IF(WINDOWS!$C25="","",IF(WINDOWS!$AJ25="","","   "&amp;IF(WINDOWS!$E25="",WINDOWS!$AI25,WINDOWS!$AH25)&amp;" "&amp;WINDOWS!$AJ25&amp;";"))</f>
        <v/>
      </c>
      <c r="B185" s="412" t="str">
        <f>IF(WINDOWS!$C25="","","! Layer 7")</f>
        <v>! Layer 7</v>
      </c>
      <c r="C185" s="412" t="str">
        <f>IF(WINDOWS!$C54="","",IF(WINDOWS!$AB54="","","   "&amp;IF(WINDOWS!$E54="",WINDOWS!$AA54,WINDOWS!$Z54)&amp;" "&amp;WINDOWS!$AB54&amp;IF(WINDOWS!$AF54="",";",",")))</f>
        <v/>
      </c>
      <c r="D185" s="412" t="str">
        <f>IF(WINDOWS!$C54="","","! Layer 5")</f>
        <v/>
      </c>
    </row>
    <row r="186" spans="1:4">
      <c r="A186" s="412"/>
      <c r="B186" s="412"/>
      <c r="C186" s="412" t="str">
        <f>IF(WINDOWS!$C54="","",IF(WINDOWS!$AF54="","","   "&amp;IF(WINDOWS!$E54="",WINDOWS!$AE54,WINDOWS!$AD54)&amp;" "&amp;WINDOWS!$AF54&amp;IF(WINDOWS!$AJ54="",";",",")))</f>
        <v/>
      </c>
      <c r="D186" s="412" t="str">
        <f>IF(WINDOWS!$C54="","","! Layer 6")</f>
        <v/>
      </c>
    </row>
    <row r="187" spans="1:4">
      <c r="A187" s="412" t="str">
        <f>IF(WINDOWS!$C26="","","Construction")</f>
        <v>Construction</v>
      </c>
      <c r="B187" s="412" t="str">
        <f>IF(WINDOWS!$C26="","",IF(WINDOWS!$D26="","! User defined window construction from spreadheet WINDOWS,","! Based on E+ dataset "&amp;WINDOWS!$E26&amp;". "))</f>
        <v xml:space="preserve">! Based on E+ dataset Dbl LoE Elec Abs Colored 6mm/13mm Arg. </v>
      </c>
      <c r="C187" s="412" t="str">
        <f>IF(WINDOWS!$C54="","",IF(WINDOWS!$AJ54="","","   "&amp;IF(WINDOWS!$E54="",WINDOWS!$AI54,WINDOWS!$AH54)&amp;" "&amp;WINDOWS!$AJ54&amp;";"))</f>
        <v/>
      </c>
      <c r="D187" s="412" t="str">
        <f>IF(WINDOWS!$C54="","","! Layer 7")</f>
        <v/>
      </c>
    </row>
    <row r="188" spans="1:4">
      <c r="A188" s="412" t="str">
        <f>IF(WINDOWS!$C26="","","    Window Cons. "&amp;WINDOWS!$B26&amp;",")</f>
        <v xml:space="preserve">    Window Cons. 19,</v>
      </c>
      <c r="B188" s="412" t="str">
        <f>IF(WINDOWS!$C26="","","! for Project Cons. Name: "&amp;WINDOWS!$C26)</f>
        <v>! for Project Cons. Name: G19</v>
      </c>
      <c r="C188" s="412"/>
      <c r="D188" s="412"/>
    </row>
    <row r="189" spans="1:4">
      <c r="A189" s="412" t="str">
        <f>IF(WINDOWS!$C26="","",IF(WINDOWS!$L26="","","   "&amp;IF(WINDOWS!$E26="",WINDOWS!$K26,WINDOWS!$J26)&amp;" "&amp;WINDOWS!$L26&amp;IF(WINDOWS!$P26="",";",",")))</f>
        <v xml:space="preserve">    ECABS-2 COLORED 6MM,</v>
      </c>
      <c r="B189" s="412" t="str">
        <f>IF(WINDOWS!$C26="","","! Layer 1")</f>
        <v>! Layer 1</v>
      </c>
      <c r="C189" s="412" t="str">
        <f>IF(WINDOWS!$C55="","","Construction")</f>
        <v/>
      </c>
      <c r="D189" s="412" t="str">
        <f>IF(WINDOWS!$C55="","",IF(WINDOWS!$D55="","! User defined window construction from spreadheet WINDOWS,","! Based on E+ dataset "&amp;WINDOWS!$E55&amp;". "))</f>
        <v/>
      </c>
    </row>
    <row r="190" spans="1:4">
      <c r="A190" s="412" t="str">
        <f>IF(WINDOWS!$C26="","",IF(WINDOWS!$P26="","","   "&amp;IF(WINDOWS!$E26="",WINDOWS!$O26,WINDOWS!$N26)&amp;" "&amp;WINDOWS!$P26&amp;IF(WINDOWS!$T26="",";",",")))</f>
        <v xml:space="preserve">    ARGON 13MM,</v>
      </c>
      <c r="B190" s="412" t="str">
        <f>IF(WINDOWS!$C26="","","! Layer 2")</f>
        <v>! Layer 2</v>
      </c>
      <c r="C190" s="412" t="str">
        <f>IF(WINDOWS!$C55="","","    Window Cons. "&amp;WINDOWS!$B55&amp;",")</f>
        <v/>
      </c>
      <c r="D190" s="412" t="str">
        <f>IF(WINDOWS!$C55="","","! for Project Cons. Name: "&amp;WINDOWS!$C55)</f>
        <v/>
      </c>
    </row>
    <row r="191" spans="1:4">
      <c r="A191" s="412" t="str">
        <f>IF(WINDOWS!$C26="","",IF(WINDOWS!$T26="","","   "&amp;IF(WINDOWS!$E26="",WINDOWS!$S26,WINDOWS!$R26)&amp;" "&amp;WINDOWS!$T26&amp;IF(WINDOWS!$X26="",";",",")))</f>
        <v xml:space="preserve">    LoE SPEC SEL CLEAR 6MM Rev;</v>
      </c>
      <c r="B191" s="412" t="str">
        <f>IF(WINDOWS!$C26="","","! Layer 3")</f>
        <v>! Layer 3</v>
      </c>
      <c r="C191" s="412" t="str">
        <f>IF(WINDOWS!$C55="","",IF(WINDOWS!$L55="","","   "&amp;IF(WINDOWS!$E55="",WINDOWS!$K55,WINDOWS!$J55)&amp;" "&amp;WINDOWS!$L55&amp;IF(WINDOWS!$P55="",";",",")))</f>
        <v/>
      </c>
      <c r="D191" s="412" t="str">
        <f>IF(WINDOWS!$C55="","","! Layer 1")</f>
        <v/>
      </c>
    </row>
    <row r="192" spans="1:4">
      <c r="A192" s="412" t="str">
        <f>IF(WINDOWS!$C26="","",IF(WINDOWS!$X26="","","   "&amp;IF(WINDOWS!$E26="",WINDOWS!$W26,WINDOWS!$V26)&amp;" "&amp;WINDOWS!$X26&amp;IF(WINDOWS!$AB26="",";",",")))</f>
        <v/>
      </c>
      <c r="B192" s="412" t="str">
        <f>IF(WINDOWS!$C26="","","! Layer 4")</f>
        <v>! Layer 4</v>
      </c>
      <c r="C192" s="412" t="str">
        <f>IF(WINDOWS!$C55="","",IF(WINDOWS!$P55="","","   "&amp;IF(WINDOWS!$E55="",WINDOWS!$O55,WINDOWS!$N55)&amp;" "&amp;WINDOWS!$P55&amp;IF(WINDOWS!$T55="",";",",")))</f>
        <v/>
      </c>
      <c r="D192" s="412" t="str">
        <f>IF(WINDOWS!$C55="","","! Layer 2")</f>
        <v/>
      </c>
    </row>
    <row r="193" spans="1:4">
      <c r="A193" s="412" t="str">
        <f>IF(WINDOWS!$C26="","",IF(WINDOWS!$AB26="","","   "&amp;IF(WINDOWS!$E26="",WINDOWS!$AA26,WINDOWS!$Z26)&amp;" "&amp;WINDOWS!$AB26&amp;IF(WINDOWS!$AF26="",";",",")))</f>
        <v/>
      </c>
      <c r="B193" s="412" t="str">
        <f>IF(WINDOWS!$C26="","","! Layer 5")</f>
        <v>! Layer 5</v>
      </c>
      <c r="C193" s="412" t="str">
        <f>IF(WINDOWS!$C55="","",IF(WINDOWS!$T55="","","   "&amp;IF(WINDOWS!$E55="",WINDOWS!$S55,WINDOWS!$R55)&amp;" "&amp;WINDOWS!$T55&amp;IF(WINDOWS!$X55="",";",",")))</f>
        <v/>
      </c>
      <c r="D193" s="412" t="str">
        <f>IF(WINDOWS!$C55="","","! Layer 3")</f>
        <v/>
      </c>
    </row>
    <row r="194" spans="1:4">
      <c r="A194" s="412" t="str">
        <f>IF(WINDOWS!$C26="","",IF(WINDOWS!$AF26="","","   "&amp;IF(WINDOWS!$E26="",WINDOWS!$AE26,WINDOWS!$AD26)&amp;" "&amp;WINDOWS!$AF26&amp;IF(WINDOWS!$AJ26="",";",",")))</f>
        <v/>
      </c>
      <c r="B194" s="412" t="str">
        <f>IF(WINDOWS!$C26="","","! Layer 6")</f>
        <v>! Layer 6</v>
      </c>
      <c r="C194" s="412" t="str">
        <f>IF(WINDOWS!$C55="","",IF(WINDOWS!$X55="","","   "&amp;IF(WINDOWS!$E55="",WINDOWS!$W55,WINDOWS!$V55)&amp;" "&amp;WINDOWS!$X55&amp;IF(WINDOWS!$AB55="",";",",")))</f>
        <v/>
      </c>
      <c r="D194" s="412" t="str">
        <f>IF(WINDOWS!$C55="","","! Layer 4")</f>
        <v/>
      </c>
    </row>
    <row r="195" spans="1:4">
      <c r="A195" s="412" t="str">
        <f>IF(WINDOWS!$C26="","",IF(WINDOWS!$AJ26="","","   "&amp;IF(WINDOWS!$E26="",WINDOWS!$AI26,WINDOWS!$AH26)&amp;" "&amp;WINDOWS!$AJ26&amp;";"))</f>
        <v/>
      </c>
      <c r="B195" s="412" t="str">
        <f>IF(WINDOWS!$C26="","","! Layer 7")</f>
        <v>! Layer 7</v>
      </c>
      <c r="C195" s="412" t="str">
        <f>IF(WINDOWS!$C55="","",IF(WINDOWS!$AB55="","","   "&amp;IF(WINDOWS!$E55="",WINDOWS!$AA55,WINDOWS!$Z55)&amp;" "&amp;WINDOWS!$AB55&amp;IF(WINDOWS!$AF55="",";",",")))</f>
        <v/>
      </c>
      <c r="D195" s="412" t="str">
        <f>IF(WINDOWS!$C55="","","! Layer 5")</f>
        <v/>
      </c>
    </row>
    <row r="196" spans="1:4">
      <c r="A196" s="412"/>
      <c r="B196" s="412"/>
      <c r="C196" s="412" t="str">
        <f>IF(WINDOWS!$C55="","",IF(WINDOWS!$AF55="","","   "&amp;IF(WINDOWS!$E55="",WINDOWS!$AE55,WINDOWS!$AD55)&amp;" "&amp;WINDOWS!$AF55&amp;IF(WINDOWS!$AJ55="",";",",")))</f>
        <v/>
      </c>
      <c r="D196" s="412" t="str">
        <f>IF(WINDOWS!$C55="","","! Layer 6")</f>
        <v/>
      </c>
    </row>
    <row r="197" spans="1:4">
      <c r="A197" s="412" t="str">
        <f>IF(WINDOWS!$C27="","","Construction")</f>
        <v>Construction</v>
      </c>
      <c r="B197" s="412" t="str">
        <f>IF(WINDOWS!$C27="","",IF(WINDOWS!$D27="","! User defined window construction from spreadheet WINDOWS,","! Based on E+ dataset "&amp;WINDOWS!$E27&amp;". "))</f>
        <v xml:space="preserve">! Based on E+ dataset Trp LoE (e5=.1) Clr 3mm/6mm Air. </v>
      </c>
      <c r="C197" s="412" t="str">
        <f>IF(WINDOWS!$C55="","",IF(WINDOWS!$AJ55="","","   "&amp;IF(WINDOWS!$E55="",WINDOWS!$AI55,WINDOWS!$AH55)&amp;" "&amp;WINDOWS!$AJ55&amp;";"))</f>
        <v/>
      </c>
      <c r="D197" s="412" t="str">
        <f>IF(WINDOWS!$C55="","","! Layer 7")</f>
        <v/>
      </c>
    </row>
    <row r="198" spans="1:4">
      <c r="A198" s="412" t="str">
        <f>IF(WINDOWS!$C27="","","    Window Cons. "&amp;WINDOWS!$B27&amp;",")</f>
        <v xml:space="preserve">    Window Cons. 20,</v>
      </c>
      <c r="B198" s="412" t="str">
        <f>IF(WINDOWS!$C27="","","! for Project Cons. Name: "&amp;WINDOWS!$C27)</f>
        <v>! for Project Cons. Name: G20</v>
      </c>
      <c r="C198" s="412"/>
      <c r="D198" s="412"/>
    </row>
    <row r="199" spans="1:4">
      <c r="A199" s="412" t="str">
        <f>IF(WINDOWS!$C27="","",IF(WINDOWS!$L27="","","   "&amp;IF(WINDOWS!$E27="",WINDOWS!$K27,WINDOWS!$J27)&amp;" "&amp;WINDOWS!$L27&amp;IF(WINDOWS!$P27="",";",",")))</f>
        <v xml:space="preserve">    CLEAR 3MM,</v>
      </c>
      <c r="B199" s="412" t="str">
        <f>IF(WINDOWS!$C27="","","! Layer 1")</f>
        <v>! Layer 1</v>
      </c>
      <c r="C199" s="412" t="str">
        <f>IF(WINDOWS!$C56="","","Construction")</f>
        <v/>
      </c>
      <c r="D199" s="412" t="str">
        <f>IF(WINDOWS!$C56="","",IF(WINDOWS!$D56="","! User defined window construction from spreadheet WINDOWS,","! Based on E+ dataset "&amp;WINDOWS!$E56&amp;". "))</f>
        <v/>
      </c>
    </row>
    <row r="200" spans="1:4">
      <c r="A200" s="412" t="str">
        <f>IF(WINDOWS!$C27="","",IF(WINDOWS!$P27="","","   "&amp;IF(WINDOWS!$E27="",WINDOWS!$O27,WINDOWS!$N27)&amp;" "&amp;WINDOWS!$P27&amp;IF(WINDOWS!$T27="",";",",")))</f>
        <v xml:space="preserve">    AIR 6MM,</v>
      </c>
      <c r="B200" s="412" t="str">
        <f>IF(WINDOWS!$C27="","","! Layer 2")</f>
        <v>! Layer 2</v>
      </c>
      <c r="C200" s="412" t="str">
        <f>IF(WINDOWS!$C56="","","    Window Cons. "&amp;WINDOWS!$B56&amp;",")</f>
        <v/>
      </c>
      <c r="D200" s="412" t="str">
        <f>IF(WINDOWS!$C56="","","! for Project Cons. Name: "&amp;WINDOWS!$C56)</f>
        <v/>
      </c>
    </row>
    <row r="201" spans="1:4">
      <c r="A201" s="412" t="str">
        <f>IF(WINDOWS!$C27="","",IF(WINDOWS!$T27="","","   "&amp;IF(WINDOWS!$E27="",WINDOWS!$S27,WINDOWS!$R27)&amp;" "&amp;WINDOWS!$T27&amp;IF(WINDOWS!$X27="",";",",")))</f>
        <v xml:space="preserve">    CLEAR 3MM,</v>
      </c>
      <c r="B201" s="412" t="str">
        <f>IF(WINDOWS!$C27="","","! Layer 3")</f>
        <v>! Layer 3</v>
      </c>
      <c r="C201" s="412" t="str">
        <f>IF(WINDOWS!$C56="","",IF(WINDOWS!$L56="","","   "&amp;IF(WINDOWS!$E56="",WINDOWS!$K56,WINDOWS!$J56)&amp;" "&amp;WINDOWS!$L56&amp;IF(WINDOWS!$P56="",";",",")))</f>
        <v/>
      </c>
      <c r="D201" s="412" t="str">
        <f>IF(WINDOWS!$C56="","","! Layer 1")</f>
        <v/>
      </c>
    </row>
    <row r="202" spans="1:4">
      <c r="A202" s="412" t="str">
        <f>IF(WINDOWS!$C27="","",IF(WINDOWS!$X27="","","   "&amp;IF(WINDOWS!$E27="",WINDOWS!$W27,WINDOWS!$V27)&amp;" "&amp;WINDOWS!$X27&amp;IF(WINDOWS!$AB27="",";",",")))</f>
        <v xml:space="preserve">    AIR 6MM,</v>
      </c>
      <c r="B202" s="412" t="str">
        <f>IF(WINDOWS!$C27="","","! Layer 4")</f>
        <v>! Layer 4</v>
      </c>
      <c r="C202" s="412" t="str">
        <f>IF(WINDOWS!$C56="","",IF(WINDOWS!$P56="","","   "&amp;IF(WINDOWS!$E56="",WINDOWS!$O56,WINDOWS!$N56)&amp;" "&amp;WINDOWS!$P56&amp;IF(WINDOWS!$T56="",";",",")))</f>
        <v/>
      </c>
      <c r="D202" s="412" t="str">
        <f>IF(WINDOWS!$C56="","","! Layer 2")</f>
        <v/>
      </c>
    </row>
    <row r="203" spans="1:4">
      <c r="A203" s="412" t="str">
        <f>IF(WINDOWS!$C27="","",IF(WINDOWS!$AB27="","","   "&amp;IF(WINDOWS!$E27="",WINDOWS!$AA27,WINDOWS!$Z27)&amp;" "&amp;WINDOWS!$AB27&amp;IF(WINDOWS!$AF27="",";",",")))</f>
        <v xml:space="preserve">    LoE CLEAR 3MM Rev;</v>
      </c>
      <c r="B203" s="412" t="str">
        <f>IF(WINDOWS!$C27="","","! Layer 5")</f>
        <v>! Layer 5</v>
      </c>
      <c r="C203" s="412" t="str">
        <f>IF(WINDOWS!$C56="","",IF(WINDOWS!$T56="","","   "&amp;IF(WINDOWS!$E56="",WINDOWS!$S56,WINDOWS!$R56)&amp;" "&amp;WINDOWS!$T56&amp;IF(WINDOWS!$X56="",";",",")))</f>
        <v/>
      </c>
      <c r="D203" s="412" t="str">
        <f>IF(WINDOWS!$C56="","","! Layer 3")</f>
        <v/>
      </c>
    </row>
    <row r="204" spans="1:4">
      <c r="A204" s="412" t="str">
        <f>IF(WINDOWS!$C27="","",IF(WINDOWS!$AF27="","","   "&amp;IF(WINDOWS!$E27="",WINDOWS!$AE27,WINDOWS!$AD27)&amp;" "&amp;WINDOWS!$AF27&amp;IF(WINDOWS!$AJ27="",";",",")))</f>
        <v/>
      </c>
      <c r="B204" s="412" t="str">
        <f>IF(WINDOWS!$C27="","","! Layer 6")</f>
        <v>! Layer 6</v>
      </c>
      <c r="C204" s="412" t="str">
        <f>IF(WINDOWS!$C56="","",IF(WINDOWS!$X56="","","   "&amp;IF(WINDOWS!$E56="",WINDOWS!$W56,WINDOWS!$V56)&amp;" "&amp;WINDOWS!$X56&amp;IF(WINDOWS!$AB56="",";",",")))</f>
        <v/>
      </c>
      <c r="D204" s="412" t="str">
        <f>IF(WINDOWS!$C56="","","! Layer 4")</f>
        <v/>
      </c>
    </row>
    <row r="205" spans="1:4">
      <c r="A205" s="412" t="str">
        <f>IF(WINDOWS!$C27="","",IF(WINDOWS!$AJ27="","","   "&amp;IF(WINDOWS!$E27="",WINDOWS!$AI27,WINDOWS!$AH27)&amp;" "&amp;WINDOWS!$AJ27&amp;";"))</f>
        <v/>
      </c>
      <c r="B205" s="412" t="str">
        <f>IF(WINDOWS!$C27="","","! Layer 7")</f>
        <v>! Layer 7</v>
      </c>
      <c r="C205" s="412" t="str">
        <f>IF(WINDOWS!$C56="","",IF(WINDOWS!$AB56="","","   "&amp;IF(WINDOWS!$E56="",WINDOWS!$AA56,WINDOWS!$Z56)&amp;" "&amp;WINDOWS!$AB56&amp;IF(WINDOWS!$AF56="",";",",")))</f>
        <v/>
      </c>
      <c r="D205" s="412" t="str">
        <f>IF(WINDOWS!$C56="","","! Layer 5")</f>
        <v/>
      </c>
    </row>
    <row r="206" spans="1:4">
      <c r="A206" s="412"/>
      <c r="B206" s="412"/>
      <c r="C206" s="412" t="str">
        <f>IF(WINDOWS!$C56="","",IF(WINDOWS!$AF56="","","   "&amp;IF(WINDOWS!$E56="",WINDOWS!$AE56,WINDOWS!$AD56)&amp;" "&amp;WINDOWS!$AF56&amp;IF(WINDOWS!$AJ56="",";",",")))</f>
        <v/>
      </c>
      <c r="D206" s="412" t="str">
        <f>IF(WINDOWS!$C56="","","! Layer 6")</f>
        <v/>
      </c>
    </row>
    <row r="207" spans="1:4">
      <c r="A207" s="412" t="str">
        <f>IF(WINDOWS!$C28="","","Construction")</f>
        <v>Construction</v>
      </c>
      <c r="B207" s="412" t="str">
        <f>IF(WINDOWS!$C28="","",IF(WINDOWS!$D28="","! User defined window construction from spreadheet WINDOWS,","! Based on E+ dataset "&amp;WINDOWS!$E28&amp;". "))</f>
        <v xml:space="preserve">! Based on E+ dataset Trp LoE Film (66) Clr 6mm/6mm Air. </v>
      </c>
      <c r="C207" s="412" t="str">
        <f>IF(WINDOWS!$C56="","",IF(WINDOWS!$AJ56="","","   "&amp;IF(WINDOWS!$E56="",WINDOWS!$AI56,WINDOWS!$AH56)&amp;" "&amp;WINDOWS!$AJ56&amp;";"))</f>
        <v/>
      </c>
      <c r="D207" s="412" t="str">
        <f>IF(WINDOWS!$C56="","","! Layer 7")</f>
        <v/>
      </c>
    </row>
    <row r="208" spans="1:4">
      <c r="A208" s="412" t="str">
        <f>IF(WINDOWS!$C28="","","    Window Cons. "&amp;WINDOWS!$B28&amp;",")</f>
        <v xml:space="preserve">    Window Cons. 21,</v>
      </c>
      <c r="B208" s="412" t="str">
        <f>IF(WINDOWS!$C28="","","! for Project Cons. Name: "&amp;WINDOWS!$C28)</f>
        <v>! for Project Cons. Name: G21</v>
      </c>
      <c r="C208" s="412"/>
      <c r="D208" s="412"/>
    </row>
    <row r="209" spans="1:4">
      <c r="A209" s="412" t="str">
        <f>IF(WINDOWS!$C28="","",IF(WINDOWS!$L28="","","   "&amp;IF(WINDOWS!$E28="",WINDOWS!$K28,WINDOWS!$J28)&amp;" "&amp;WINDOWS!$L28&amp;IF(WINDOWS!$P28="",";",",")))</f>
        <v xml:space="preserve">    CLEAR 6MM,</v>
      </c>
      <c r="B209" s="412" t="str">
        <f>IF(WINDOWS!$C28="","","! Layer 1")</f>
        <v>! Layer 1</v>
      </c>
      <c r="C209" s="412" t="str">
        <f>IF(WINDOWS!$C57="","","Construction")</f>
        <v/>
      </c>
      <c r="D209" s="412" t="str">
        <f>IF(WINDOWS!$C57="","",IF(WINDOWS!$D57="","! User defined window construction from spreadheet WINDOWS,","! Based on E+ dataset "&amp;WINDOWS!$E57&amp;". "))</f>
        <v/>
      </c>
    </row>
    <row r="210" spans="1:4">
      <c r="A210" s="412" t="str">
        <f>IF(WINDOWS!$C28="","",IF(WINDOWS!$P28="","","   "&amp;IF(WINDOWS!$E28="",WINDOWS!$O28,WINDOWS!$N28)&amp;" "&amp;WINDOWS!$P28&amp;IF(WINDOWS!$T28="",";",",")))</f>
        <v xml:space="preserve">    AIR 6MM,</v>
      </c>
      <c r="B210" s="412" t="str">
        <f>IF(WINDOWS!$C28="","","! Layer 2")</f>
        <v>! Layer 2</v>
      </c>
      <c r="C210" s="412" t="str">
        <f>IF(WINDOWS!$C57="","","    Window Cons. "&amp;WINDOWS!$B57&amp;",")</f>
        <v/>
      </c>
      <c r="D210" s="412" t="str">
        <f>IF(WINDOWS!$C57="","","! for Project Cons. Name: "&amp;WINDOWS!$C57)</f>
        <v/>
      </c>
    </row>
    <row r="211" spans="1:4">
      <c r="A211" s="412" t="str">
        <f>IF(WINDOWS!$C28="","",IF(WINDOWS!$T28="","","   "&amp;IF(WINDOWS!$E28="",WINDOWS!$S28,WINDOWS!$R28)&amp;" "&amp;WINDOWS!$T28&amp;IF(WINDOWS!$X28="",";",",")))</f>
        <v xml:space="preserve">    COATED POLY-66,</v>
      </c>
      <c r="B211" s="412" t="str">
        <f>IF(WINDOWS!$C28="","","! Layer 3")</f>
        <v>! Layer 3</v>
      </c>
      <c r="C211" s="412" t="str">
        <f>IF(WINDOWS!$C57="","",IF(WINDOWS!$L57="","","   "&amp;IF(WINDOWS!$E57="",WINDOWS!$K57,WINDOWS!$J57)&amp;" "&amp;WINDOWS!$L57&amp;IF(WINDOWS!$P57="",";",",")))</f>
        <v/>
      </c>
      <c r="D211" s="412" t="str">
        <f>IF(WINDOWS!$C57="","","! Layer 1")</f>
        <v/>
      </c>
    </row>
    <row r="212" spans="1:4">
      <c r="A212" s="412" t="str">
        <f>IF(WINDOWS!$C28="","",IF(WINDOWS!$X28="","","   "&amp;IF(WINDOWS!$E28="",WINDOWS!$W28,WINDOWS!$V28)&amp;" "&amp;WINDOWS!$X28&amp;IF(WINDOWS!$AB28="",";",",")))</f>
        <v xml:space="preserve">    AIR 6MM,</v>
      </c>
      <c r="B212" s="412" t="str">
        <f>IF(WINDOWS!$C28="","","! Layer 4")</f>
        <v>! Layer 4</v>
      </c>
      <c r="C212" s="412" t="str">
        <f>IF(WINDOWS!$C57="","",IF(WINDOWS!$P57="","","   "&amp;IF(WINDOWS!$E57="",WINDOWS!$O57,WINDOWS!$N57)&amp;" "&amp;WINDOWS!$P57&amp;IF(WINDOWS!$T57="",";",",")))</f>
        <v/>
      </c>
      <c r="D212" s="412" t="str">
        <f>IF(WINDOWS!$C57="","","! Layer 2")</f>
        <v/>
      </c>
    </row>
    <row r="213" spans="1:4">
      <c r="A213" s="412" t="str">
        <f>IF(WINDOWS!$C28="","",IF(WINDOWS!$AB28="","","   "&amp;IF(WINDOWS!$E28="",WINDOWS!$AA28,WINDOWS!$Z28)&amp;" "&amp;WINDOWS!$AB28&amp;IF(WINDOWS!$AF28="",";",",")))</f>
        <v xml:space="preserve">    CLEAR 6MM;</v>
      </c>
      <c r="B213" s="412" t="str">
        <f>IF(WINDOWS!$C28="","","! Layer 5")</f>
        <v>! Layer 5</v>
      </c>
      <c r="C213" s="412" t="str">
        <f>IF(WINDOWS!$C57="","",IF(WINDOWS!$T57="","","   "&amp;IF(WINDOWS!$E57="",WINDOWS!$S57,WINDOWS!$R57)&amp;" "&amp;WINDOWS!$T57&amp;IF(WINDOWS!$X57="",";",",")))</f>
        <v/>
      </c>
      <c r="D213" s="412" t="str">
        <f>IF(WINDOWS!$C57="","","! Layer 3")</f>
        <v/>
      </c>
    </row>
    <row r="214" spans="1:4">
      <c r="A214" s="412" t="str">
        <f>IF(WINDOWS!$C28="","",IF(WINDOWS!$AF28="","","   "&amp;IF(WINDOWS!$E28="",WINDOWS!$AE28,WINDOWS!$AD28)&amp;" "&amp;WINDOWS!$AF28&amp;IF(WINDOWS!$AJ28="",";",",")))</f>
        <v/>
      </c>
      <c r="B214" s="412" t="str">
        <f>IF(WINDOWS!$C28="","","! Layer 6")</f>
        <v>! Layer 6</v>
      </c>
      <c r="C214" s="412" t="str">
        <f>IF(WINDOWS!$C57="","",IF(WINDOWS!$X57="","","   "&amp;IF(WINDOWS!$E57="",WINDOWS!$W57,WINDOWS!$V57)&amp;" "&amp;WINDOWS!$X57&amp;IF(WINDOWS!$AB57="",";",",")))</f>
        <v/>
      </c>
      <c r="D214" s="412" t="str">
        <f>IF(WINDOWS!$C57="","","! Layer 4")</f>
        <v/>
      </c>
    </row>
    <row r="215" spans="1:4">
      <c r="A215" s="412" t="str">
        <f>IF(WINDOWS!$C28="","",IF(WINDOWS!$AJ28="","","   "&amp;IF(WINDOWS!$E28="",WINDOWS!$AI28,WINDOWS!$AH28)&amp;" "&amp;WINDOWS!$AJ28&amp;";"))</f>
        <v/>
      </c>
      <c r="B215" s="412" t="str">
        <f>IF(WINDOWS!$C28="","","! Layer 7")</f>
        <v>! Layer 7</v>
      </c>
      <c r="C215" s="412" t="str">
        <f>IF(WINDOWS!$C57="","",IF(WINDOWS!$AB57="","","   "&amp;IF(WINDOWS!$E57="",WINDOWS!$AA57,WINDOWS!$Z57)&amp;" "&amp;WINDOWS!$AB57&amp;IF(WINDOWS!$AF57="",";",",")))</f>
        <v/>
      </c>
      <c r="D215" s="412" t="str">
        <f>IF(WINDOWS!$C57="","","! Layer 5")</f>
        <v/>
      </c>
    </row>
    <row r="216" spans="1:4">
      <c r="A216" s="412"/>
      <c r="B216" s="412"/>
      <c r="C216" s="412" t="str">
        <f>IF(WINDOWS!$C57="","",IF(WINDOWS!$AF57="","","   "&amp;IF(WINDOWS!$E57="",WINDOWS!$AE57,WINDOWS!$AD57)&amp;" "&amp;WINDOWS!$AF57&amp;IF(WINDOWS!$AJ57="",";",",")))</f>
        <v/>
      </c>
      <c r="D216" s="412" t="str">
        <f>IF(WINDOWS!$C57="","","! Layer 6")</f>
        <v/>
      </c>
    </row>
    <row r="217" spans="1:4">
      <c r="A217" s="412" t="str">
        <f>IF(WINDOWS!$C29="","","Construction")</f>
        <v>Construction</v>
      </c>
      <c r="B217" s="412" t="str">
        <f>IF(WINDOWS!$C29="","",IF(WINDOWS!$D29="","! User defined window construction from spreadheet WINDOWS,","! Based on E+ dataset "&amp;WINDOWS!$E29&amp;". "))</f>
        <v xml:space="preserve">! Based on E+ dataset Trp LoE Film (33) Bronze 6mm/6mm Air. </v>
      </c>
      <c r="C217" s="412" t="str">
        <f>IF(WINDOWS!$C57="","",IF(WINDOWS!$AJ57="","","   "&amp;IF(WINDOWS!$E57="",WINDOWS!$AI57,WINDOWS!$AH57)&amp;" "&amp;WINDOWS!$AJ57&amp;";"))</f>
        <v/>
      </c>
      <c r="D217" s="412" t="str">
        <f>IF(WINDOWS!$C57="","","! Layer 7")</f>
        <v/>
      </c>
    </row>
    <row r="218" spans="1:4">
      <c r="A218" s="412" t="str">
        <f>IF(WINDOWS!$C29="","","    Window Cons. "&amp;WINDOWS!$B29&amp;",")</f>
        <v xml:space="preserve">    Window Cons. 22,</v>
      </c>
      <c r="B218" s="412" t="str">
        <f>IF(WINDOWS!$C29="","","! for Project Cons. Name: "&amp;WINDOWS!$C29)</f>
        <v>! for Project Cons. Name: G22</v>
      </c>
      <c r="C218" s="412"/>
      <c r="D218" s="412"/>
    </row>
    <row r="219" spans="1:4">
      <c r="A219" s="412" t="str">
        <f>IF(WINDOWS!$C29="","",IF(WINDOWS!$L29="","","   "&amp;IF(WINDOWS!$E29="",WINDOWS!$K29,WINDOWS!$J29)&amp;" "&amp;WINDOWS!$L29&amp;IF(WINDOWS!$P29="",";",",")))</f>
        <v xml:space="preserve">    BRONZE 6MM,</v>
      </c>
      <c r="B219" s="412" t="str">
        <f>IF(WINDOWS!$C29="","","! Layer 1")</f>
        <v>! Layer 1</v>
      </c>
      <c r="C219" s="412" t="str">
        <f>IF(WINDOWS!$C58="","","Construction")</f>
        <v/>
      </c>
      <c r="D219" s="412" t="str">
        <f>IF(WINDOWS!$C58="","",IF(WINDOWS!$D58="","! User defined window construction from spreadheet WINDOWS,","! Based on E+ dataset "&amp;WINDOWS!$E58&amp;". "))</f>
        <v/>
      </c>
    </row>
    <row r="220" spans="1:4">
      <c r="A220" s="412" t="str">
        <f>IF(WINDOWS!$C29="","",IF(WINDOWS!$P29="","","   "&amp;IF(WINDOWS!$E29="",WINDOWS!$O29,WINDOWS!$N29)&amp;" "&amp;WINDOWS!$P29&amp;IF(WINDOWS!$T29="",";",",")))</f>
        <v xml:space="preserve">    AIR 6MM,</v>
      </c>
      <c r="B220" s="412" t="str">
        <f>IF(WINDOWS!$C29="","","! Layer 2")</f>
        <v>! Layer 2</v>
      </c>
      <c r="C220" s="412" t="str">
        <f>IF(WINDOWS!$C58="","","    Window Cons. "&amp;WINDOWS!$B58&amp;",")</f>
        <v/>
      </c>
      <c r="D220" s="412" t="str">
        <f>IF(WINDOWS!$C58="","","! for Project Cons. Name: "&amp;WINDOWS!$C58)</f>
        <v/>
      </c>
    </row>
    <row r="221" spans="1:4">
      <c r="A221" s="412" t="str">
        <f>IF(WINDOWS!$C29="","",IF(WINDOWS!$T29="","","   "&amp;IF(WINDOWS!$E29="",WINDOWS!$S29,WINDOWS!$R29)&amp;" "&amp;WINDOWS!$T29&amp;IF(WINDOWS!$X29="",";",",")))</f>
        <v xml:space="preserve">    COATED POLY-33,</v>
      </c>
      <c r="B221" s="412" t="str">
        <f>IF(WINDOWS!$C29="","","! Layer 3")</f>
        <v>! Layer 3</v>
      </c>
      <c r="C221" s="412" t="str">
        <f>IF(WINDOWS!$C58="","",IF(WINDOWS!$L58="","","   "&amp;IF(WINDOWS!$E58="",WINDOWS!$K58,WINDOWS!$J58)&amp;" "&amp;WINDOWS!$L58&amp;IF(WINDOWS!$P58="",";",",")))</f>
        <v/>
      </c>
      <c r="D221" s="412" t="str">
        <f>IF(WINDOWS!$C58="","","! Layer 1")</f>
        <v/>
      </c>
    </row>
    <row r="222" spans="1:4">
      <c r="A222" s="412" t="str">
        <f>IF(WINDOWS!$C29="","",IF(WINDOWS!$X29="","","   "&amp;IF(WINDOWS!$E29="",WINDOWS!$W29,WINDOWS!$V29)&amp;" "&amp;WINDOWS!$X29&amp;IF(WINDOWS!$AB29="",";",",")))</f>
        <v xml:space="preserve">    AIR 6MM,</v>
      </c>
      <c r="B222" s="412" t="str">
        <f>IF(WINDOWS!$C29="","","! Layer 4")</f>
        <v>! Layer 4</v>
      </c>
      <c r="C222" s="412" t="str">
        <f>IF(WINDOWS!$C58="","",IF(WINDOWS!$P58="","","   "&amp;IF(WINDOWS!$E58="",WINDOWS!$O58,WINDOWS!$N58)&amp;" "&amp;WINDOWS!$P58&amp;IF(WINDOWS!$T58="",";",",")))</f>
        <v/>
      </c>
      <c r="D222" s="412" t="str">
        <f>IF(WINDOWS!$C58="","","! Layer 2")</f>
        <v/>
      </c>
    </row>
    <row r="223" spans="1:4">
      <c r="A223" s="412" t="str">
        <f>IF(WINDOWS!$C29="","",IF(WINDOWS!$AB29="","","   "&amp;IF(WINDOWS!$E29="",WINDOWS!$AA29,WINDOWS!$Z29)&amp;" "&amp;WINDOWS!$AB29&amp;IF(WINDOWS!$AF29="",";",",")))</f>
        <v xml:space="preserve">    CLEAR 6MM;</v>
      </c>
      <c r="B223" s="412" t="str">
        <f>IF(WINDOWS!$C29="","","! Layer 5")</f>
        <v>! Layer 5</v>
      </c>
      <c r="C223" s="412" t="str">
        <f>IF(WINDOWS!$C58="","",IF(WINDOWS!$T58="","","   "&amp;IF(WINDOWS!$E58="",WINDOWS!$S58,WINDOWS!$R58)&amp;" "&amp;WINDOWS!$T58&amp;IF(WINDOWS!$X58="",";",",")))</f>
        <v/>
      </c>
      <c r="D223" s="412" t="str">
        <f>IF(WINDOWS!$C58="","","! Layer 3")</f>
        <v/>
      </c>
    </row>
    <row r="224" spans="1:4">
      <c r="A224" s="412" t="str">
        <f>IF(WINDOWS!$C29="","",IF(WINDOWS!$AF29="","","   "&amp;IF(WINDOWS!$E29="",WINDOWS!$AE29,WINDOWS!$AD29)&amp;" "&amp;WINDOWS!$AF29&amp;IF(WINDOWS!$AJ29="",";",",")))</f>
        <v/>
      </c>
      <c r="B224" s="412" t="str">
        <f>IF(WINDOWS!$C29="","","! Layer 6")</f>
        <v>! Layer 6</v>
      </c>
      <c r="C224" s="412" t="str">
        <f>IF(WINDOWS!$C58="","",IF(WINDOWS!$X58="","","   "&amp;IF(WINDOWS!$E58="",WINDOWS!$W58,WINDOWS!$V58)&amp;" "&amp;WINDOWS!$X58&amp;IF(WINDOWS!$AB58="",";",",")))</f>
        <v/>
      </c>
      <c r="D224" s="412" t="str">
        <f>IF(WINDOWS!$C58="","","! Layer 4")</f>
        <v/>
      </c>
    </row>
    <row r="225" spans="1:4">
      <c r="A225" s="412" t="str">
        <f>IF(WINDOWS!$C29="","",IF(WINDOWS!$AJ29="","","   "&amp;IF(WINDOWS!$E29="",WINDOWS!$AI29,WINDOWS!$AH29)&amp;" "&amp;WINDOWS!$AJ29&amp;";"))</f>
        <v/>
      </c>
      <c r="B225" s="412" t="str">
        <f>IF(WINDOWS!$C29="","","! Layer 7")</f>
        <v>! Layer 7</v>
      </c>
      <c r="C225" s="412" t="str">
        <f>IF(WINDOWS!$C58="","",IF(WINDOWS!$AB58="","","   "&amp;IF(WINDOWS!$E58="",WINDOWS!$AA58,WINDOWS!$Z58)&amp;" "&amp;WINDOWS!$AB58&amp;IF(WINDOWS!$AF58="",";",",")))</f>
        <v/>
      </c>
      <c r="D225" s="412" t="str">
        <f>IF(WINDOWS!$C58="","","! Layer 5")</f>
        <v/>
      </c>
    </row>
    <row r="226" spans="1:4">
      <c r="A226" s="412"/>
      <c r="B226" s="412"/>
      <c r="C226" s="412" t="str">
        <f>IF(WINDOWS!$C58="","",IF(WINDOWS!$AF58="","","   "&amp;IF(WINDOWS!$E58="",WINDOWS!$AE58,WINDOWS!$AD58)&amp;" "&amp;WINDOWS!$AF58&amp;IF(WINDOWS!$AJ58="",";",",")))</f>
        <v/>
      </c>
      <c r="D226" s="412" t="str">
        <f>IF(WINDOWS!$C58="","","! Layer 6")</f>
        <v/>
      </c>
    </row>
    <row r="227" spans="1:4">
      <c r="A227" s="412" t="str">
        <f>IF(WINDOWS!$C30="","","Construction")</f>
        <v>Construction</v>
      </c>
      <c r="B227" s="412" t="str">
        <f>IF(WINDOWS!$C30="","",IF(WINDOWS!$D30="","! User defined window construction from spreadheet WINDOWS,","! Based on E+ dataset "&amp;WINDOWS!$E30&amp;". "))</f>
        <v xml:space="preserve">! Based on E+ dataset Quadruple LoE Films (88) 3mm/8mm Krypton. </v>
      </c>
      <c r="C227" s="412" t="str">
        <f>IF(WINDOWS!$C58="","",IF(WINDOWS!$AJ58="","","   "&amp;IF(WINDOWS!$E58="",WINDOWS!$AI58,WINDOWS!$AH58)&amp;" "&amp;WINDOWS!$AJ58&amp;";"))</f>
        <v/>
      </c>
      <c r="D227" s="412" t="str">
        <f>IF(WINDOWS!$C58="","","! Layer 7")</f>
        <v/>
      </c>
    </row>
    <row r="228" spans="1:4">
      <c r="A228" s="412" t="str">
        <f>IF(WINDOWS!$C30="","","    Window Cons. "&amp;WINDOWS!$B30&amp;",")</f>
        <v xml:space="preserve">    Window Cons. 23,</v>
      </c>
      <c r="B228" s="412" t="str">
        <f>IF(WINDOWS!$C30="","","! for Project Cons. Name: "&amp;WINDOWS!$C30)</f>
        <v>! for Project Cons. Name: G23</v>
      </c>
      <c r="C228" s="412"/>
      <c r="D228" s="412"/>
    </row>
    <row r="229" spans="1:4">
      <c r="A229" s="412" t="str">
        <f>IF(WINDOWS!$C30="","",IF(WINDOWS!$L30="","","   "&amp;IF(WINDOWS!$E30="",WINDOWS!$K30,WINDOWS!$J30)&amp;" "&amp;WINDOWS!$L30&amp;IF(WINDOWS!$P30="",";",",")))</f>
        <v xml:space="preserve">    CLEAR 3MM,</v>
      </c>
      <c r="B229" s="412" t="str">
        <f>IF(WINDOWS!$C30="","","! Layer 1")</f>
        <v>! Layer 1</v>
      </c>
      <c r="C229" s="412" t="str">
        <f>IF(WINDOWS!$C59="","","Construction")</f>
        <v/>
      </c>
      <c r="D229" s="412" t="str">
        <f>IF(WINDOWS!$C59="","",IF(WINDOWS!$D59="","! User defined window construction from spreadheet WINDOWS,","! Based on E+ dataset "&amp;WINDOWS!$E59&amp;". "))</f>
        <v/>
      </c>
    </row>
    <row r="230" spans="1:4">
      <c r="A230" s="412" t="str">
        <f>IF(WINDOWS!$C30="","",IF(WINDOWS!$P30="","","   "&amp;IF(WINDOWS!$E30="",WINDOWS!$O30,WINDOWS!$N30)&amp;" "&amp;WINDOWS!$P30&amp;IF(WINDOWS!$T30="",";",",")))</f>
        <v xml:space="preserve">    KRYPTON 8MM,</v>
      </c>
      <c r="B230" s="412" t="str">
        <f>IF(WINDOWS!$C30="","","! Layer 2")</f>
        <v>! Layer 2</v>
      </c>
      <c r="C230" s="412" t="str">
        <f>IF(WINDOWS!$C59="","","    Window Cons. "&amp;WINDOWS!$B59&amp;",")</f>
        <v/>
      </c>
      <c r="D230" s="412" t="str">
        <f>IF(WINDOWS!$C59="","","! for Project Cons. Name: "&amp;WINDOWS!$C59)</f>
        <v/>
      </c>
    </row>
    <row r="231" spans="1:4">
      <c r="A231" s="412" t="str">
        <f>IF(WINDOWS!$C30="","",IF(WINDOWS!$T30="","","   "&amp;IF(WINDOWS!$E30="",WINDOWS!$S30,WINDOWS!$R30)&amp;" "&amp;WINDOWS!$T30&amp;IF(WINDOWS!$X30="",";",",")))</f>
        <v xml:space="preserve">    COATED POLY-88,</v>
      </c>
      <c r="B231" s="412" t="str">
        <f>IF(WINDOWS!$C30="","","! Layer 3")</f>
        <v>! Layer 3</v>
      </c>
      <c r="C231" s="412" t="str">
        <f>IF(WINDOWS!$C59="","",IF(WINDOWS!$L59="","","   "&amp;IF(WINDOWS!$E59="",WINDOWS!$K59,WINDOWS!$J59)&amp;" "&amp;WINDOWS!$L59&amp;IF(WINDOWS!$P59="",";",",")))</f>
        <v/>
      </c>
      <c r="D231" s="412" t="str">
        <f>IF(WINDOWS!$C59="","","! Layer 1")</f>
        <v/>
      </c>
    </row>
    <row r="232" spans="1:4">
      <c r="A232" s="412" t="str">
        <f>IF(WINDOWS!$C30="","",IF(WINDOWS!$X30="","","   "&amp;IF(WINDOWS!$E30="",WINDOWS!$W30,WINDOWS!$V30)&amp;" "&amp;WINDOWS!$X30&amp;IF(WINDOWS!$AB30="",";",",")))</f>
        <v xml:space="preserve">    KRYPTON 3MM,</v>
      </c>
      <c r="B232" s="412" t="str">
        <f>IF(WINDOWS!$C30="","","! Layer 4")</f>
        <v>! Layer 4</v>
      </c>
      <c r="C232" s="412" t="str">
        <f>IF(WINDOWS!$C59="","",IF(WINDOWS!$P59="","","   "&amp;IF(WINDOWS!$E59="",WINDOWS!$O59,WINDOWS!$N59)&amp;" "&amp;WINDOWS!$P59&amp;IF(WINDOWS!$T59="",";",",")))</f>
        <v/>
      </c>
      <c r="D232" s="412" t="str">
        <f>IF(WINDOWS!$C59="","","! Layer 2")</f>
        <v/>
      </c>
    </row>
    <row r="233" spans="1:4">
      <c r="A233" s="412" t="str">
        <f>IF(WINDOWS!$C30="","",IF(WINDOWS!$AB30="","","   "&amp;IF(WINDOWS!$E30="",WINDOWS!$AA30,WINDOWS!$Z30)&amp;" "&amp;WINDOWS!$AB30&amp;IF(WINDOWS!$AF30="",";",",")))</f>
        <v xml:space="preserve">    COATED POLY-88,</v>
      </c>
      <c r="B233" s="412" t="str">
        <f>IF(WINDOWS!$C30="","","! Layer 5")</f>
        <v>! Layer 5</v>
      </c>
      <c r="C233" s="412" t="str">
        <f>IF(WINDOWS!$C59="","",IF(WINDOWS!$T59="","","   "&amp;IF(WINDOWS!$E59="",WINDOWS!$S59,WINDOWS!$R59)&amp;" "&amp;WINDOWS!$T59&amp;IF(WINDOWS!$X59="",";",",")))</f>
        <v/>
      </c>
      <c r="D233" s="412" t="str">
        <f>IF(WINDOWS!$C59="","","! Layer 3")</f>
        <v/>
      </c>
    </row>
    <row r="234" spans="1:4">
      <c r="A234" s="412" t="str">
        <f>IF(WINDOWS!$C30="","",IF(WINDOWS!$AF30="","","   "&amp;IF(WINDOWS!$E30="",WINDOWS!$AE30,WINDOWS!$AD30)&amp;" "&amp;WINDOWS!$AF30&amp;IF(WINDOWS!$AJ30="",";",",")))</f>
        <v xml:space="preserve">    KRYPTON 8MM,</v>
      </c>
      <c r="B234" s="412" t="str">
        <f>IF(WINDOWS!$C30="","","! Layer 6")</f>
        <v>! Layer 6</v>
      </c>
      <c r="C234" s="412" t="str">
        <f>IF(WINDOWS!$C59="","",IF(WINDOWS!$X59="","","   "&amp;IF(WINDOWS!$E59="",WINDOWS!$W59,WINDOWS!$V59)&amp;" "&amp;WINDOWS!$X59&amp;IF(WINDOWS!$AB59="",";",",")))</f>
        <v/>
      </c>
      <c r="D234" s="412" t="str">
        <f>IF(WINDOWS!$C59="","","! Layer 4")</f>
        <v/>
      </c>
    </row>
    <row r="235" spans="1:4">
      <c r="A235" s="412" t="str">
        <f>IF(WINDOWS!$C30="","",IF(WINDOWS!$AJ30="","","   "&amp;IF(WINDOWS!$E30="",WINDOWS!$AI30,WINDOWS!$AH30)&amp;" "&amp;WINDOWS!$AJ30&amp;";"))</f>
        <v xml:space="preserve">    CLEAR 3MM;</v>
      </c>
      <c r="B235" s="412" t="str">
        <f>IF(WINDOWS!$C30="","","! Layer 7")</f>
        <v>! Layer 7</v>
      </c>
      <c r="C235" s="412" t="str">
        <f>IF(WINDOWS!$C59="","",IF(WINDOWS!$AB59="","","   "&amp;IF(WINDOWS!$E59="",WINDOWS!$AA59,WINDOWS!$Z59)&amp;" "&amp;WINDOWS!$AB59&amp;IF(WINDOWS!$AF59="",";",",")))</f>
        <v/>
      </c>
      <c r="D235" s="412" t="str">
        <f>IF(WINDOWS!$C59="","","! Layer 5")</f>
        <v/>
      </c>
    </row>
    <row r="236" spans="1:4">
      <c r="A236" s="412"/>
      <c r="B236" s="412"/>
      <c r="C236" s="412" t="str">
        <f>IF(WINDOWS!$C59="","",IF(WINDOWS!$AF59="","","   "&amp;IF(WINDOWS!$E59="",WINDOWS!$AE59,WINDOWS!$AD59)&amp;" "&amp;WINDOWS!$AF59&amp;IF(WINDOWS!$AJ59="",";",",")))</f>
        <v/>
      </c>
      <c r="D236" s="412" t="str">
        <f>IF(WINDOWS!$C59="","","! Layer 6")</f>
        <v/>
      </c>
    </row>
    <row r="237" spans="1:4">
      <c r="A237" s="412" t="str">
        <f>IF(WINDOWS!$C31="","","Construction")</f>
        <v>Construction</v>
      </c>
      <c r="B237" s="412" t="str">
        <f>IF(WINDOWS!$C31="","",IF(WINDOWS!$D31="","! User defined window construction from spreadheet WINDOWS,","! Based on E+ dataset "&amp;WINDOWS!$E31&amp;". "))</f>
        <v>! User defined window construction from spreadheet WINDOWS,</v>
      </c>
      <c r="C237" s="412" t="str">
        <f>IF(WINDOWS!$C59="","",IF(WINDOWS!$AJ59="","","   "&amp;IF(WINDOWS!$E59="",WINDOWS!$AI59,WINDOWS!$AH59)&amp;" "&amp;WINDOWS!$AJ59&amp;";"))</f>
        <v/>
      </c>
      <c r="D237" s="412" t="str">
        <f>IF(WINDOWS!$C59="","","! Layer 7")</f>
        <v/>
      </c>
    </row>
    <row r="238" spans="1:4">
      <c r="A238" s="412" t="str">
        <f>IF(WINDOWS!$C31="","","    Window Cons. "&amp;WINDOWS!$B31&amp;",")</f>
        <v xml:space="preserve">    Window Cons. 24,</v>
      </c>
      <c r="B238" s="412" t="str">
        <f>IF(WINDOWS!$C31="","","! for Project Cons. Name: "&amp;WINDOWS!$C31)</f>
        <v>! for Project Cons. Name: G24</v>
      </c>
      <c r="C238" s="412"/>
      <c r="D238" s="412"/>
    </row>
    <row r="239" spans="1:4">
      <c r="A239" s="412" t="str">
        <f>IF(WINDOWS!$C31="","",IF(WINDOWS!$L31="","","   "&amp;IF(WINDOWS!$E31="",WINDOWS!$K31,WINDOWS!$J31)&amp;" "&amp;WINDOWS!$L31&amp;IF(WINDOWS!$P31="",";",",")))</f>
        <v xml:space="preserve">   1 AIR 3MM,</v>
      </c>
      <c r="B239" s="412" t="str">
        <f>IF(WINDOWS!$C31="","","! Layer 1")</f>
        <v>! Layer 1</v>
      </c>
      <c r="C239" s="412" t="str">
        <f>IF(WINDOWS!$C60="","","Construction")</f>
        <v/>
      </c>
      <c r="D239" s="412" t="str">
        <f>IF(WINDOWS!$C60="","",IF(WINDOWS!$D60="","! User defined window construction from spreadheet WINDOWS,","! Based on E+ dataset "&amp;WINDOWS!$E60&amp;". "))</f>
        <v/>
      </c>
    </row>
    <row r="240" spans="1:4">
      <c r="A240" s="412" t="str">
        <f>IF(WINDOWS!$C31="","",IF(WINDOWS!$P31="","","   "&amp;IF(WINDOWS!$E31="",WINDOWS!$O31,WINDOWS!$N31)&amp;" "&amp;WINDOWS!$P31&amp;IF(WINDOWS!$T31="",";",",")))</f>
        <v xml:space="preserve">   5 ARGON 3MM,</v>
      </c>
      <c r="B240" s="412" t="str">
        <f>IF(WINDOWS!$C31="","","! Layer 2")</f>
        <v>! Layer 2</v>
      </c>
      <c r="C240" s="412" t="str">
        <f>IF(WINDOWS!$C60="","","    Window Cons. "&amp;WINDOWS!$B60&amp;",")</f>
        <v/>
      </c>
      <c r="D240" s="412" t="str">
        <f>IF(WINDOWS!$C60="","","! for Project Cons. Name: "&amp;WINDOWS!$C60)</f>
        <v/>
      </c>
    </row>
    <row r="241" spans="1:4">
      <c r="A241" s="412" t="str">
        <f>IF(WINDOWS!$C31="","",IF(WINDOWS!$T31="","","   "&amp;IF(WINDOWS!$E31="",WINDOWS!$S31,WINDOWS!$R31)&amp;" "&amp;WINDOWS!$T31&amp;IF(WINDOWS!$X31="",";",",")))</f>
        <v xml:space="preserve">   9 KRYPTON 3MM;</v>
      </c>
      <c r="B241" s="412" t="str">
        <f>IF(WINDOWS!$C31="","","! Layer 3")</f>
        <v>! Layer 3</v>
      </c>
      <c r="C241" s="412" t="str">
        <f>IF(WINDOWS!$C60="","",IF(WINDOWS!$L60="","","   "&amp;IF(WINDOWS!$E60="",WINDOWS!$K60,WINDOWS!$J60)&amp;" "&amp;WINDOWS!$L60&amp;IF(WINDOWS!$P60="",";",",")))</f>
        <v/>
      </c>
      <c r="D241" s="412" t="str">
        <f>IF(WINDOWS!$C60="","","! Layer 1")</f>
        <v/>
      </c>
    </row>
    <row r="242" spans="1:4">
      <c r="A242" s="412" t="str">
        <f>IF(WINDOWS!$C31="","",IF(WINDOWS!$X31="","","   "&amp;IF(WINDOWS!$E31="",WINDOWS!$W31,WINDOWS!$V31)&amp;" "&amp;WINDOWS!$X31&amp;IF(WINDOWS!$AB31="",";",",")))</f>
        <v/>
      </c>
      <c r="B242" s="412" t="str">
        <f>IF(WINDOWS!$C31="","","! Layer 4")</f>
        <v>! Layer 4</v>
      </c>
      <c r="C242" s="412" t="str">
        <f>IF(WINDOWS!$C60="","",IF(WINDOWS!$P60="","","   "&amp;IF(WINDOWS!$E60="",WINDOWS!$O60,WINDOWS!$N60)&amp;" "&amp;WINDOWS!$P60&amp;IF(WINDOWS!$T60="",";",",")))</f>
        <v/>
      </c>
      <c r="D242" s="412" t="str">
        <f>IF(WINDOWS!$C60="","","! Layer 2")</f>
        <v/>
      </c>
    </row>
    <row r="243" spans="1:4">
      <c r="A243" s="412" t="str">
        <f>IF(WINDOWS!$C31="","",IF(WINDOWS!$AB31="","","   "&amp;IF(WINDOWS!$E31="",WINDOWS!$AA31,WINDOWS!$Z31)&amp;" "&amp;WINDOWS!$AB31&amp;IF(WINDOWS!$AF31="",";",",")))</f>
        <v/>
      </c>
      <c r="B243" s="412" t="str">
        <f>IF(WINDOWS!$C31="","","! Layer 5")</f>
        <v>! Layer 5</v>
      </c>
      <c r="C243" s="412" t="str">
        <f>IF(WINDOWS!$C60="","",IF(WINDOWS!$T60="","","   "&amp;IF(WINDOWS!$E60="",WINDOWS!$S60,WINDOWS!$R60)&amp;" "&amp;WINDOWS!$T60&amp;IF(WINDOWS!$X60="",";",",")))</f>
        <v/>
      </c>
      <c r="D243" s="412" t="str">
        <f>IF(WINDOWS!$C60="","","! Layer 3")</f>
        <v/>
      </c>
    </row>
    <row r="244" spans="1:4">
      <c r="A244" s="412" t="str">
        <f>IF(WINDOWS!$C31="","",IF(WINDOWS!$AF31="","","   "&amp;IF(WINDOWS!$E31="",WINDOWS!$AE31,WINDOWS!$AD31)&amp;" "&amp;WINDOWS!$AF31&amp;IF(WINDOWS!$AJ31="",";",",")))</f>
        <v/>
      </c>
      <c r="B244" s="412" t="str">
        <f>IF(WINDOWS!$C31="","","! Layer 6")</f>
        <v>! Layer 6</v>
      </c>
      <c r="C244" s="412" t="str">
        <f>IF(WINDOWS!$C60="","",IF(WINDOWS!$X60="","","   "&amp;IF(WINDOWS!$E60="",WINDOWS!$W60,WINDOWS!$V60)&amp;" "&amp;WINDOWS!$X60&amp;IF(WINDOWS!$AB60="",";",",")))</f>
        <v/>
      </c>
      <c r="D244" s="412" t="str">
        <f>IF(WINDOWS!$C60="","","! Layer 4")</f>
        <v/>
      </c>
    </row>
    <row r="245" spans="1:4">
      <c r="A245" s="412" t="str">
        <f>IF(WINDOWS!$C31="","",IF(WINDOWS!$AJ31="","","   "&amp;IF(WINDOWS!$E31="",WINDOWS!$AI31,WINDOWS!$AH31)&amp;" "&amp;WINDOWS!$AJ31&amp;";"))</f>
        <v/>
      </c>
      <c r="B245" s="412" t="str">
        <f>IF(WINDOWS!$C31="","","! Layer 7")</f>
        <v>! Layer 7</v>
      </c>
      <c r="C245" s="412" t="str">
        <f>IF(WINDOWS!$C60="","",IF(WINDOWS!$AB60="","","   "&amp;IF(WINDOWS!$E60="",WINDOWS!$AA60,WINDOWS!$Z60)&amp;" "&amp;WINDOWS!$AB60&amp;IF(WINDOWS!$AF60="",";",",")))</f>
        <v/>
      </c>
      <c r="D245" s="412" t="str">
        <f>IF(WINDOWS!$C60="","","! Layer 5")</f>
        <v/>
      </c>
    </row>
    <row r="246" spans="1:4">
      <c r="A246" s="412"/>
      <c r="B246" s="412"/>
      <c r="C246" s="412" t="str">
        <f>IF(WINDOWS!$C60="","",IF(WINDOWS!$AF60="","","   "&amp;IF(WINDOWS!$E60="",WINDOWS!$AE60,WINDOWS!$AD60)&amp;" "&amp;WINDOWS!$AF60&amp;IF(WINDOWS!$AJ60="",";",",")))</f>
        <v/>
      </c>
      <c r="D246" s="412" t="str">
        <f>IF(WINDOWS!$C60="","","! Layer 6")</f>
        <v/>
      </c>
    </row>
    <row r="247" spans="1:4">
      <c r="A247" s="412" t="str">
        <f>IF(WINDOWS!$C32="","","Construction")</f>
        <v>Construction</v>
      </c>
      <c r="B247" s="412" t="str">
        <f>IF(WINDOWS!$C32="","",IF(WINDOWS!$D32="","! User defined window construction from spreadheet WINDOWS,","! Based on E+ dataset "&amp;WINDOWS!$E32&amp;". "))</f>
        <v xml:space="preserve">! Based on E+ dataset Quadruple LoE Films (88) 3mm/8mm Krypton. </v>
      </c>
      <c r="C247" s="412" t="str">
        <f>IF(WINDOWS!$C60="","",IF(WINDOWS!$AJ60="","","   "&amp;IF(WINDOWS!$E60="",WINDOWS!$AI60,WINDOWS!$AH60)&amp;" "&amp;WINDOWS!$AJ60&amp;";"))</f>
        <v/>
      </c>
      <c r="D247" s="412" t="str">
        <f>IF(WINDOWS!$C60="","","! Layer 7")</f>
        <v/>
      </c>
    </row>
    <row r="248" spans="1:4">
      <c r="A248" s="412" t="str">
        <f>IF(WINDOWS!$C32="","","    Window Cons. "&amp;WINDOWS!$B32&amp;",")</f>
        <v xml:space="preserve">    Window Cons. 25,</v>
      </c>
      <c r="B248" s="412" t="str">
        <f>IF(WINDOWS!$C32="","","! for Project Cons. Name: "&amp;WINDOWS!$C32)</f>
        <v>! for Project Cons. Name: G25</v>
      </c>
      <c r="C248" s="412"/>
      <c r="D248" s="412"/>
    </row>
    <row r="249" spans="1:4">
      <c r="A249" s="412" t="str">
        <f>IF(WINDOWS!$C32="","",IF(WINDOWS!$L32="","","   "&amp;IF(WINDOWS!$E32="",WINDOWS!$K32,WINDOWS!$J32)&amp;" "&amp;WINDOWS!$L32&amp;IF(WINDOWS!$P32="",";",",")))</f>
        <v xml:space="preserve">    CLEAR 3MM,</v>
      </c>
      <c r="B249" s="412" t="str">
        <f>IF(WINDOWS!$C32="","","! Layer 1")</f>
        <v>! Layer 1</v>
      </c>
      <c r="C249" s="412" t="str">
        <f>IF(WINDOWS!$C61="","","Construction")</f>
        <v/>
      </c>
      <c r="D249" s="412" t="str">
        <f>IF(WINDOWS!$C61="","",IF(WINDOWS!$D61="","! User defined window construction from spreadheet WINDOWS,","! Based on E+ dataset "&amp;WINDOWS!$E61&amp;". "))</f>
        <v/>
      </c>
    </row>
    <row r="250" spans="1:4">
      <c r="A250" s="412" t="str">
        <f>IF(WINDOWS!$C32="","",IF(WINDOWS!$P32="","","   "&amp;IF(WINDOWS!$E32="",WINDOWS!$O32,WINDOWS!$N32)&amp;" "&amp;WINDOWS!$P32&amp;IF(WINDOWS!$T32="",";",",")))</f>
        <v xml:space="preserve">    KRYPTON 8MM,</v>
      </c>
      <c r="B250" s="412" t="str">
        <f>IF(WINDOWS!$C32="","","! Layer 2")</f>
        <v>! Layer 2</v>
      </c>
      <c r="C250" s="412" t="str">
        <f>IF(WINDOWS!$C61="","","    Window Cons. "&amp;WINDOWS!$B61&amp;",")</f>
        <v/>
      </c>
      <c r="D250" s="412" t="str">
        <f>IF(WINDOWS!$C61="","","! for Project Cons. Name: "&amp;WINDOWS!$C61)</f>
        <v/>
      </c>
    </row>
    <row r="251" spans="1:4">
      <c r="A251" s="412" t="str">
        <f>IF(WINDOWS!$C32="","",IF(WINDOWS!$T32="","","   "&amp;IF(WINDOWS!$E32="",WINDOWS!$S32,WINDOWS!$R32)&amp;" "&amp;WINDOWS!$T32&amp;IF(WINDOWS!$X32="",";",",")))</f>
        <v xml:space="preserve">    COATED POLY-88,</v>
      </c>
      <c r="B251" s="412" t="str">
        <f>IF(WINDOWS!$C32="","","! Layer 3")</f>
        <v>! Layer 3</v>
      </c>
      <c r="C251" s="412" t="str">
        <f>IF(WINDOWS!$C61="","",IF(WINDOWS!$L61="","","   "&amp;IF(WINDOWS!$E61="",WINDOWS!$K61,WINDOWS!$J61)&amp;" "&amp;WINDOWS!$L61&amp;IF(WINDOWS!$P61="",";",",")))</f>
        <v/>
      </c>
      <c r="D251" s="412" t="str">
        <f>IF(WINDOWS!$C61="","","! Layer 1")</f>
        <v/>
      </c>
    </row>
    <row r="252" spans="1:4">
      <c r="A252" s="412" t="str">
        <f>IF(WINDOWS!$C32="","",IF(WINDOWS!$X32="","","   "&amp;IF(WINDOWS!$E32="",WINDOWS!$W32,WINDOWS!$V32)&amp;" "&amp;WINDOWS!$X32&amp;IF(WINDOWS!$AB32="",";",",")))</f>
        <v xml:space="preserve">    KRYPTON 3MM,</v>
      </c>
      <c r="B252" s="412" t="str">
        <f>IF(WINDOWS!$C32="","","! Layer 4")</f>
        <v>! Layer 4</v>
      </c>
      <c r="C252" s="412" t="str">
        <f>IF(WINDOWS!$C61="","",IF(WINDOWS!$P61="","","   "&amp;IF(WINDOWS!$E61="",WINDOWS!$O61,WINDOWS!$N61)&amp;" "&amp;WINDOWS!$P61&amp;IF(WINDOWS!$T61="",";",",")))</f>
        <v/>
      </c>
      <c r="D252" s="412" t="str">
        <f>IF(WINDOWS!$C61="","","! Layer 2")</f>
        <v/>
      </c>
    </row>
    <row r="253" spans="1:4">
      <c r="A253" s="412" t="str">
        <f>IF(WINDOWS!$C32="","",IF(WINDOWS!$AB32="","","   "&amp;IF(WINDOWS!$E32="",WINDOWS!$AA32,WINDOWS!$Z32)&amp;" "&amp;WINDOWS!$AB32&amp;IF(WINDOWS!$AF32="",";",",")))</f>
        <v xml:space="preserve">    COATED POLY-88,</v>
      </c>
      <c r="B253" s="412" t="str">
        <f>IF(WINDOWS!$C32="","","! Layer 5")</f>
        <v>! Layer 5</v>
      </c>
      <c r="C253" s="412" t="str">
        <f>IF(WINDOWS!$C61="","",IF(WINDOWS!$T61="","","   "&amp;IF(WINDOWS!$E61="",WINDOWS!$S61,WINDOWS!$R61)&amp;" "&amp;WINDOWS!$T61&amp;IF(WINDOWS!$X61="",";",",")))</f>
        <v/>
      </c>
      <c r="D253" s="412" t="str">
        <f>IF(WINDOWS!$C61="","","! Layer 3")</f>
        <v/>
      </c>
    </row>
    <row r="254" spans="1:4">
      <c r="A254" s="412" t="str">
        <f>IF(WINDOWS!$C32="","",IF(WINDOWS!$AF32="","","   "&amp;IF(WINDOWS!$E32="",WINDOWS!$AE32,WINDOWS!$AD32)&amp;" "&amp;WINDOWS!$AF32&amp;IF(WINDOWS!$AJ32="",";",",")))</f>
        <v xml:space="preserve">    KRYPTON 8MM,</v>
      </c>
      <c r="B254" s="412" t="str">
        <f>IF(WINDOWS!$C32="","","! Layer 6")</f>
        <v>! Layer 6</v>
      </c>
      <c r="C254" s="412" t="str">
        <f>IF(WINDOWS!$C61="","",IF(WINDOWS!$X61="","","   "&amp;IF(WINDOWS!$E61="",WINDOWS!$W61,WINDOWS!$V61)&amp;" "&amp;WINDOWS!$X61&amp;IF(WINDOWS!$AB61="",";",",")))</f>
        <v/>
      </c>
      <c r="D254" s="412" t="str">
        <f>IF(WINDOWS!$C61="","","! Layer 4")</f>
        <v/>
      </c>
    </row>
    <row r="255" spans="1:4">
      <c r="A255" s="412" t="str">
        <f>IF(WINDOWS!$C32="","",IF(WINDOWS!$AJ32="","","   "&amp;IF(WINDOWS!$E32="",WINDOWS!$AI32,WINDOWS!$AH32)&amp;" "&amp;WINDOWS!$AJ32&amp;";"))</f>
        <v xml:space="preserve">    CLEAR 3MM;</v>
      </c>
      <c r="B255" s="412" t="str">
        <f>IF(WINDOWS!$C32="","","! Layer 7")</f>
        <v>! Layer 7</v>
      </c>
      <c r="C255" s="412" t="str">
        <f>IF(WINDOWS!$C61="","",IF(WINDOWS!$AB61="","","   "&amp;IF(WINDOWS!$E61="",WINDOWS!$AA61,WINDOWS!$Z61)&amp;" "&amp;WINDOWS!$AB61&amp;IF(WINDOWS!$AF61="",";",",")))</f>
        <v/>
      </c>
      <c r="D255" s="412" t="str">
        <f>IF(WINDOWS!$C61="","","! Layer 5")</f>
        <v/>
      </c>
    </row>
    <row r="256" spans="1:4">
      <c r="A256" s="412"/>
      <c r="B256" s="412"/>
      <c r="C256" s="412" t="str">
        <f>IF(WINDOWS!$C61="","",IF(WINDOWS!$AF61="","","   "&amp;IF(WINDOWS!$E61="",WINDOWS!$AE61,WINDOWS!$AD61)&amp;" "&amp;WINDOWS!$AF61&amp;IF(WINDOWS!$AJ61="",";",",")))</f>
        <v/>
      </c>
      <c r="D256" s="412" t="str">
        <f>IF(WINDOWS!$C61="","","! Layer 6")</f>
        <v/>
      </c>
    </row>
    <row r="257" spans="1:4">
      <c r="A257" s="412" t="str">
        <f>IF(WINDOWS!$C33="","","Construction")</f>
        <v>Construction</v>
      </c>
      <c r="B257" s="412" t="str">
        <f>IF(WINDOWS!$C33="","",IF(WINDOWS!$D33="","! User defined window construction from spreadheet WINDOWS,","! Based on E+ dataset "&amp;WINDOWS!$E33&amp;". "))</f>
        <v xml:space="preserve">! Based on E+ dataset Quadruple LoE Films (88) 3mm/8mm Krypton. </v>
      </c>
      <c r="C257" s="412" t="str">
        <f>IF(WINDOWS!$C61="","",IF(WINDOWS!$AJ61="","","   "&amp;IF(WINDOWS!$E61="",WINDOWS!$AI61,WINDOWS!$AH61)&amp;" "&amp;WINDOWS!$AJ61&amp;";"))</f>
        <v/>
      </c>
      <c r="D257" s="412" t="str">
        <f>IF(WINDOWS!$C61="","","! Layer 7")</f>
        <v/>
      </c>
    </row>
    <row r="258" spans="1:4">
      <c r="A258" s="412" t="str">
        <f>IF(WINDOWS!$C33="","","    Window Cons. "&amp;WINDOWS!$B33&amp;",")</f>
        <v xml:space="preserve">    Window Cons. 26,</v>
      </c>
      <c r="B258" s="412" t="str">
        <f>IF(WINDOWS!$C33="","","! for Project Cons. Name: "&amp;WINDOWS!$C33)</f>
        <v>! for Project Cons. Name: G26</v>
      </c>
      <c r="C258" s="412"/>
      <c r="D258" s="412"/>
    </row>
    <row r="259" spans="1:4">
      <c r="A259" s="412" t="str">
        <f>IF(WINDOWS!$C33="","",IF(WINDOWS!$L33="","","   "&amp;IF(WINDOWS!$E33="",WINDOWS!$K33,WINDOWS!$J33)&amp;" "&amp;WINDOWS!$L33&amp;IF(WINDOWS!$P33="",";",",")))</f>
        <v xml:space="preserve">    CLEAR 3MM,</v>
      </c>
      <c r="B259" s="412" t="str">
        <f>IF(WINDOWS!$C33="","","! Layer 1")</f>
        <v>! Layer 1</v>
      </c>
      <c r="C259" s="412" t="str">
        <f>IF(WINDOWS!$C62="","","Construction")</f>
        <v/>
      </c>
      <c r="D259" s="412" t="str">
        <f>IF(WINDOWS!$C62="","",IF(WINDOWS!$D62="","! User defined window construction from spreadheet WINDOWS,","! Based on E+ dataset "&amp;WINDOWS!$E62&amp;". "))</f>
        <v/>
      </c>
    </row>
    <row r="260" spans="1:4">
      <c r="A260" s="412" t="str">
        <f>IF(WINDOWS!$C33="","",IF(WINDOWS!$P33="","","   "&amp;IF(WINDOWS!$E33="",WINDOWS!$O33,WINDOWS!$N33)&amp;" "&amp;WINDOWS!$P33&amp;IF(WINDOWS!$T33="",";",",")))</f>
        <v xml:space="preserve">    KRYPTON 8MM,</v>
      </c>
      <c r="B260" s="412" t="str">
        <f>IF(WINDOWS!$C33="","","! Layer 2")</f>
        <v>! Layer 2</v>
      </c>
      <c r="C260" s="412" t="str">
        <f>IF(WINDOWS!$C62="","","    Window Cons. "&amp;WINDOWS!$B62&amp;",")</f>
        <v/>
      </c>
      <c r="D260" s="412" t="str">
        <f>IF(WINDOWS!$C62="","","! for Project Cons. Name: "&amp;WINDOWS!$C62)</f>
        <v/>
      </c>
    </row>
    <row r="261" spans="1:4">
      <c r="A261" s="412" t="str">
        <f>IF(WINDOWS!$C33="","",IF(WINDOWS!$T33="","","   "&amp;IF(WINDOWS!$E33="",WINDOWS!$S33,WINDOWS!$R33)&amp;" "&amp;WINDOWS!$T33&amp;IF(WINDOWS!$X33="",";",",")))</f>
        <v xml:space="preserve">    COATED POLY-88,</v>
      </c>
      <c r="B261" s="412" t="str">
        <f>IF(WINDOWS!$C33="","","! Layer 3")</f>
        <v>! Layer 3</v>
      </c>
      <c r="C261" s="412" t="str">
        <f>IF(WINDOWS!$C62="","",IF(WINDOWS!$L62="","","   "&amp;IF(WINDOWS!$E62="",WINDOWS!$K62,WINDOWS!$J62)&amp;" "&amp;WINDOWS!$L62&amp;IF(WINDOWS!$P62="",";",",")))</f>
        <v/>
      </c>
      <c r="D261" s="412" t="str">
        <f>IF(WINDOWS!$C62="","","! Layer 1")</f>
        <v/>
      </c>
    </row>
    <row r="262" spans="1:4">
      <c r="A262" s="412" t="str">
        <f>IF(WINDOWS!$C33="","",IF(WINDOWS!$X33="","","   "&amp;IF(WINDOWS!$E33="",WINDOWS!$W33,WINDOWS!$V33)&amp;" "&amp;WINDOWS!$X33&amp;IF(WINDOWS!$AB33="",";",",")))</f>
        <v xml:space="preserve">    KRYPTON 3MM,</v>
      </c>
      <c r="B262" s="412" t="str">
        <f>IF(WINDOWS!$C33="","","! Layer 4")</f>
        <v>! Layer 4</v>
      </c>
      <c r="C262" s="412" t="str">
        <f>IF(WINDOWS!$C62="","",IF(WINDOWS!$P62="","","   "&amp;IF(WINDOWS!$E62="",WINDOWS!$O62,WINDOWS!$N62)&amp;" "&amp;WINDOWS!$P62&amp;IF(WINDOWS!$T62="",";",",")))</f>
        <v/>
      </c>
      <c r="D262" s="412" t="str">
        <f>IF(WINDOWS!$C62="","","! Layer 2")</f>
        <v/>
      </c>
    </row>
    <row r="263" spans="1:4">
      <c r="A263" s="412" t="str">
        <f>IF(WINDOWS!$C33="","",IF(WINDOWS!$AB33="","","   "&amp;IF(WINDOWS!$E33="",WINDOWS!$AA33,WINDOWS!$Z33)&amp;" "&amp;WINDOWS!$AB33&amp;IF(WINDOWS!$AF33="",";",",")))</f>
        <v xml:space="preserve">    COATED POLY-88,</v>
      </c>
      <c r="B263" s="412" t="str">
        <f>IF(WINDOWS!$C33="","","! Layer 5")</f>
        <v>! Layer 5</v>
      </c>
      <c r="C263" s="412" t="str">
        <f>IF(WINDOWS!$C62="","",IF(WINDOWS!$T62="","","   "&amp;IF(WINDOWS!$E62="",WINDOWS!$S62,WINDOWS!$R62)&amp;" "&amp;WINDOWS!$T62&amp;IF(WINDOWS!$X62="",";",",")))</f>
        <v/>
      </c>
      <c r="D263" s="412" t="str">
        <f>IF(WINDOWS!$C62="","","! Layer 3")</f>
        <v/>
      </c>
    </row>
    <row r="264" spans="1:4">
      <c r="A264" s="412" t="str">
        <f>IF(WINDOWS!$C33="","",IF(WINDOWS!$AF33="","","   "&amp;IF(WINDOWS!$E33="",WINDOWS!$AE33,WINDOWS!$AD33)&amp;" "&amp;WINDOWS!$AF33&amp;IF(WINDOWS!$AJ33="",";",",")))</f>
        <v xml:space="preserve">    KRYPTON 8MM,</v>
      </c>
      <c r="B264" s="412" t="str">
        <f>IF(WINDOWS!$C33="","","! Layer 6")</f>
        <v>! Layer 6</v>
      </c>
      <c r="C264" s="412" t="str">
        <f>IF(WINDOWS!$C62="","",IF(WINDOWS!$X62="","","   "&amp;IF(WINDOWS!$E62="",WINDOWS!$W62,WINDOWS!$V62)&amp;" "&amp;WINDOWS!$X62&amp;IF(WINDOWS!$AB62="",";",",")))</f>
        <v/>
      </c>
      <c r="D264" s="412" t="str">
        <f>IF(WINDOWS!$C62="","","! Layer 4")</f>
        <v/>
      </c>
    </row>
    <row r="265" spans="1:4">
      <c r="A265" s="412" t="str">
        <f>IF(WINDOWS!$C33="","",IF(WINDOWS!$AJ33="","","   "&amp;IF(WINDOWS!$E33="",WINDOWS!$AI33,WINDOWS!$AH33)&amp;" "&amp;WINDOWS!$AJ33&amp;";"))</f>
        <v xml:space="preserve">    CLEAR 3MM;</v>
      </c>
      <c r="B265" s="412" t="str">
        <f>IF(WINDOWS!$C33="","","! Layer 7")</f>
        <v>! Layer 7</v>
      </c>
      <c r="C265" s="412" t="str">
        <f>IF(WINDOWS!$C62="","",IF(WINDOWS!$AB62="","","   "&amp;IF(WINDOWS!$E62="",WINDOWS!$AA62,WINDOWS!$Z62)&amp;" "&amp;WINDOWS!$AB62&amp;IF(WINDOWS!$AF62="",";",",")))</f>
        <v/>
      </c>
      <c r="D265" s="412" t="str">
        <f>IF(WINDOWS!$C62="","","! Layer 5")</f>
        <v/>
      </c>
    </row>
    <row r="266" spans="1:4">
      <c r="A266" s="412"/>
      <c r="B266" s="412"/>
      <c r="C266" s="412" t="str">
        <f>IF(WINDOWS!$C62="","",IF(WINDOWS!$AF62="","","   "&amp;IF(WINDOWS!$E62="",WINDOWS!$AE62,WINDOWS!$AD62)&amp;" "&amp;WINDOWS!$AF62&amp;IF(WINDOWS!$AJ62="",";",",")))</f>
        <v/>
      </c>
      <c r="D266" s="412" t="str">
        <f>IF(WINDOWS!$C62="","","! Layer 6")</f>
        <v/>
      </c>
    </row>
    <row r="267" spans="1:4">
      <c r="A267" s="412" t="str">
        <f>IF(WINDOWS!$C34="","","Construction")</f>
        <v>Construction</v>
      </c>
      <c r="B267" s="412" t="str">
        <f>IF(WINDOWS!$C34="","",IF(WINDOWS!$D34="","! User defined window construction from spreadheet WINDOWS,","! Based on E+ dataset "&amp;WINDOWS!$E34&amp;". "))</f>
        <v xml:space="preserve">! Based on E+ dataset Quadruple LoE Films (88) 3mm/8mm Krypton. </v>
      </c>
      <c r="C267" s="412" t="str">
        <f>IF(WINDOWS!$C62="","",IF(WINDOWS!$AJ62="","","   "&amp;IF(WINDOWS!$E62="",WINDOWS!$AI62,WINDOWS!$AH62)&amp;" "&amp;WINDOWS!$AJ62&amp;";"))</f>
        <v/>
      </c>
      <c r="D267" s="412" t="str">
        <f>IF(WINDOWS!$C62="","","! Layer 7")</f>
        <v/>
      </c>
    </row>
    <row r="268" spans="1:4">
      <c r="A268" s="412" t="str">
        <f>IF(WINDOWS!$C34="","","    Window Cons. "&amp;WINDOWS!$B34&amp;",")</f>
        <v xml:space="preserve">    Window Cons. 27,</v>
      </c>
      <c r="B268" s="412" t="str">
        <f>IF(WINDOWS!$C34="","","! for Project Cons. Name: "&amp;WINDOWS!$C34)</f>
        <v>! for Project Cons. Name: G27</v>
      </c>
      <c r="C268" s="412"/>
      <c r="D268" s="412"/>
    </row>
    <row r="269" spans="1:4">
      <c r="A269" s="412" t="str">
        <f>IF(WINDOWS!$C34="","",IF(WINDOWS!$L34="","","   "&amp;IF(WINDOWS!$E34="",WINDOWS!$K34,WINDOWS!$J34)&amp;" "&amp;WINDOWS!$L34&amp;IF(WINDOWS!$P34="",";",",")))</f>
        <v xml:space="preserve">    CLEAR 3MM,</v>
      </c>
      <c r="B269" s="412" t="str">
        <f>IF(WINDOWS!$C34="","","! Layer 1")</f>
        <v>! Layer 1</v>
      </c>
      <c r="C269" s="412" t="str">
        <f>IF(WINDOWS!$C63="","","Construction")</f>
        <v/>
      </c>
      <c r="D269" s="412" t="str">
        <f>IF(WINDOWS!$C63="","",IF(WINDOWS!$D63="","! User defined window construction from spreadheet WINDOWS,","! Based on E+ dataset "&amp;WINDOWS!$E63&amp;". "))</f>
        <v/>
      </c>
    </row>
    <row r="270" spans="1:4">
      <c r="A270" s="412" t="str">
        <f>IF(WINDOWS!$C34="","",IF(WINDOWS!$P34="","","   "&amp;IF(WINDOWS!$E34="",WINDOWS!$O34,WINDOWS!$N34)&amp;" "&amp;WINDOWS!$P34&amp;IF(WINDOWS!$T34="",";",",")))</f>
        <v xml:space="preserve">    KRYPTON 8MM,</v>
      </c>
      <c r="B270" s="412" t="str">
        <f>IF(WINDOWS!$C34="","","! Layer 2")</f>
        <v>! Layer 2</v>
      </c>
      <c r="C270" s="412" t="str">
        <f>IF(WINDOWS!$C63="","","    Window Cons. "&amp;WINDOWS!$B63&amp;",")</f>
        <v/>
      </c>
      <c r="D270" s="412" t="str">
        <f>IF(WINDOWS!$C63="","","! for Project Cons. Name: "&amp;WINDOWS!$C63)</f>
        <v/>
      </c>
    </row>
    <row r="271" spans="1:4">
      <c r="A271" s="412" t="str">
        <f>IF(WINDOWS!$C34="","",IF(WINDOWS!$T34="","","   "&amp;IF(WINDOWS!$E34="",WINDOWS!$S34,WINDOWS!$R34)&amp;" "&amp;WINDOWS!$T34&amp;IF(WINDOWS!$X34="",";",",")))</f>
        <v xml:space="preserve">    COATED POLY-88,</v>
      </c>
      <c r="B271" s="412" t="str">
        <f>IF(WINDOWS!$C34="","","! Layer 3")</f>
        <v>! Layer 3</v>
      </c>
      <c r="C271" s="412" t="str">
        <f>IF(WINDOWS!$C63="","",IF(WINDOWS!$L63="","","   "&amp;IF(WINDOWS!$E63="",WINDOWS!$K63,WINDOWS!$J63)&amp;" "&amp;WINDOWS!$L63&amp;IF(WINDOWS!$P63="",";",",")))</f>
        <v/>
      </c>
      <c r="D271" s="412" t="str">
        <f>IF(WINDOWS!$C63="","","! Layer 1")</f>
        <v/>
      </c>
    </row>
    <row r="272" spans="1:4">
      <c r="A272" s="412" t="str">
        <f>IF(WINDOWS!$C34="","",IF(WINDOWS!$X34="","","   "&amp;IF(WINDOWS!$E34="",WINDOWS!$W34,WINDOWS!$V34)&amp;" "&amp;WINDOWS!$X34&amp;IF(WINDOWS!$AB34="",";",",")))</f>
        <v xml:space="preserve">    KRYPTON 3MM,</v>
      </c>
      <c r="B272" s="412" t="str">
        <f>IF(WINDOWS!$C34="","","! Layer 4")</f>
        <v>! Layer 4</v>
      </c>
      <c r="C272" s="412" t="str">
        <f>IF(WINDOWS!$C63="","",IF(WINDOWS!$P63="","","   "&amp;IF(WINDOWS!$E63="",WINDOWS!$O63,WINDOWS!$N63)&amp;" "&amp;WINDOWS!$P63&amp;IF(WINDOWS!$T63="",";",",")))</f>
        <v/>
      </c>
      <c r="D272" s="412" t="str">
        <f>IF(WINDOWS!$C63="","","! Layer 2")</f>
        <v/>
      </c>
    </row>
    <row r="273" spans="1:4">
      <c r="A273" s="412" t="str">
        <f>IF(WINDOWS!$C34="","",IF(WINDOWS!$AB34="","","   "&amp;IF(WINDOWS!$E34="",WINDOWS!$AA34,WINDOWS!$Z34)&amp;" "&amp;WINDOWS!$AB34&amp;IF(WINDOWS!$AF34="",";",",")))</f>
        <v xml:space="preserve">    COATED POLY-88,</v>
      </c>
      <c r="B273" s="412" t="str">
        <f>IF(WINDOWS!$C34="","","! Layer 5")</f>
        <v>! Layer 5</v>
      </c>
      <c r="C273" s="412" t="str">
        <f>IF(WINDOWS!$C63="","",IF(WINDOWS!$T63="","","   "&amp;IF(WINDOWS!$E63="",WINDOWS!$S63,WINDOWS!$R63)&amp;" "&amp;WINDOWS!$T63&amp;IF(WINDOWS!$X63="",";",",")))</f>
        <v/>
      </c>
      <c r="D273" s="412" t="str">
        <f>IF(WINDOWS!$C63="","","! Layer 3")</f>
        <v/>
      </c>
    </row>
    <row r="274" spans="1:4">
      <c r="A274" s="412" t="str">
        <f>IF(WINDOWS!$C34="","",IF(WINDOWS!$AF34="","","   "&amp;IF(WINDOWS!$E34="",WINDOWS!$AE34,WINDOWS!$AD34)&amp;" "&amp;WINDOWS!$AF34&amp;IF(WINDOWS!$AJ34="",";",",")))</f>
        <v xml:space="preserve">    KRYPTON 8MM,</v>
      </c>
      <c r="B274" s="412" t="str">
        <f>IF(WINDOWS!$C34="","","! Layer 6")</f>
        <v>! Layer 6</v>
      </c>
      <c r="C274" s="412" t="str">
        <f>IF(WINDOWS!$C63="","",IF(WINDOWS!$X63="","","   "&amp;IF(WINDOWS!$E63="",WINDOWS!$W63,WINDOWS!$V63)&amp;" "&amp;WINDOWS!$X63&amp;IF(WINDOWS!$AB63="",";",",")))</f>
        <v/>
      </c>
      <c r="D274" s="412" t="str">
        <f>IF(WINDOWS!$C63="","","! Layer 4")</f>
        <v/>
      </c>
    </row>
    <row r="275" spans="1:4">
      <c r="A275" s="412" t="str">
        <f>IF(WINDOWS!$C34="","",IF(WINDOWS!$AJ34="","","   "&amp;IF(WINDOWS!$E34="",WINDOWS!$AI34,WINDOWS!$AH34)&amp;" "&amp;WINDOWS!$AJ34&amp;";"))</f>
        <v xml:space="preserve">    CLEAR 3MM;</v>
      </c>
      <c r="B275" s="412" t="str">
        <f>IF(WINDOWS!$C34="","","! Layer 7")</f>
        <v>! Layer 7</v>
      </c>
      <c r="C275" s="412" t="str">
        <f>IF(WINDOWS!$C63="","",IF(WINDOWS!$AB63="","","   "&amp;IF(WINDOWS!$E63="",WINDOWS!$AA63,WINDOWS!$Z63)&amp;" "&amp;WINDOWS!$AB63&amp;IF(WINDOWS!$AF63="",";",",")))</f>
        <v/>
      </c>
      <c r="D275" s="412" t="str">
        <f>IF(WINDOWS!$C63="","","! Layer 5")</f>
        <v/>
      </c>
    </row>
    <row r="276" spans="1:4">
      <c r="A276" s="412"/>
      <c r="B276" s="412"/>
      <c r="C276" s="412" t="str">
        <f>IF(WINDOWS!$C63="","",IF(WINDOWS!$AF63="","","   "&amp;IF(WINDOWS!$E63="",WINDOWS!$AE63,WINDOWS!$AD63)&amp;" "&amp;WINDOWS!$AF63&amp;IF(WINDOWS!$AJ63="",";",",")))</f>
        <v/>
      </c>
      <c r="D276" s="412" t="str">
        <f>IF(WINDOWS!$C63="","","! Layer 6")</f>
        <v/>
      </c>
    </row>
    <row r="277" spans="1:4">
      <c r="A277" s="412" t="str">
        <f>IF(WINDOWS!$C35="","","Construction")</f>
        <v>Construction</v>
      </c>
      <c r="B277" s="412" t="str">
        <f>IF(WINDOWS!$C35="","",IF(WINDOWS!$D35="","! User defined window construction from spreadheet WINDOWS,","! Based on E+ dataset "&amp;WINDOWS!$E35&amp;". "))</f>
        <v xml:space="preserve">! Based on E+ dataset Quadruple LoE Films (88) 3mm/8mm Krypton. </v>
      </c>
      <c r="C277" s="412" t="str">
        <f>IF(WINDOWS!$C63="","",IF(WINDOWS!$AJ63="","","   "&amp;IF(WINDOWS!$E63="",WINDOWS!$AI63,WINDOWS!$AH63)&amp;" "&amp;WINDOWS!$AJ63&amp;";"))</f>
        <v/>
      </c>
      <c r="D277" s="412" t="str">
        <f>IF(WINDOWS!$C63="","","! Layer 7")</f>
        <v/>
      </c>
    </row>
    <row r="278" spans="1:4">
      <c r="A278" s="412" t="str">
        <f>IF(WINDOWS!$C35="","","    Window Cons. "&amp;WINDOWS!$B35&amp;",")</f>
        <v xml:space="preserve">    Window Cons. 28,</v>
      </c>
      <c r="B278" s="412" t="str">
        <f>IF(WINDOWS!$C35="","","! for Project Cons. Name: "&amp;WINDOWS!$C35)</f>
        <v>! for Project Cons. Name: G28</v>
      </c>
      <c r="C278" s="412"/>
      <c r="D278" s="412"/>
    </row>
    <row r="279" spans="1:4">
      <c r="A279" s="412" t="str">
        <f>IF(WINDOWS!$C35="","",IF(WINDOWS!$L35="","","   "&amp;IF(WINDOWS!$E35="",WINDOWS!$K35,WINDOWS!$J35)&amp;" "&amp;WINDOWS!$L35&amp;IF(WINDOWS!$P35="",";",",")))</f>
        <v xml:space="preserve">    CLEAR 3MM,</v>
      </c>
      <c r="B279" s="412" t="str">
        <f>IF(WINDOWS!$C35="","","! Layer 1")</f>
        <v>! Layer 1</v>
      </c>
      <c r="C279" s="412" t="str">
        <f>IF(WINDOWS!$C64="","","Construction")</f>
        <v/>
      </c>
      <c r="D279" s="412" t="str">
        <f>IF(WINDOWS!$C64="","",IF(WINDOWS!$D64="","! User defined window construction from spreadheet WINDOWS,","! Based on E+ dataset "&amp;WINDOWS!$E64&amp;". "))</f>
        <v/>
      </c>
    </row>
    <row r="280" spans="1:4">
      <c r="A280" s="412" t="str">
        <f>IF(WINDOWS!$C35="","",IF(WINDOWS!$P35="","","   "&amp;IF(WINDOWS!$E35="",WINDOWS!$O35,WINDOWS!$N35)&amp;" "&amp;WINDOWS!$P35&amp;IF(WINDOWS!$T35="",";",",")))</f>
        <v xml:space="preserve">    KRYPTON 8MM,</v>
      </c>
      <c r="B280" s="412" t="str">
        <f>IF(WINDOWS!$C35="","","! Layer 2")</f>
        <v>! Layer 2</v>
      </c>
      <c r="C280" s="412" t="str">
        <f>IF(WINDOWS!$C64="","","    Window Cons. "&amp;WINDOWS!$B64&amp;",")</f>
        <v/>
      </c>
      <c r="D280" s="412" t="str">
        <f>IF(WINDOWS!$C64="","","! for Project Cons. Name: "&amp;WINDOWS!$C64)</f>
        <v/>
      </c>
    </row>
    <row r="281" spans="1:4">
      <c r="A281" s="412" t="str">
        <f>IF(WINDOWS!$C35="","",IF(WINDOWS!$T35="","","   "&amp;IF(WINDOWS!$E35="",WINDOWS!$S35,WINDOWS!$R35)&amp;" "&amp;WINDOWS!$T35&amp;IF(WINDOWS!$X35="",";",",")))</f>
        <v xml:space="preserve">    COATED POLY-88,</v>
      </c>
      <c r="B281" s="412" t="str">
        <f>IF(WINDOWS!$C35="","","! Layer 3")</f>
        <v>! Layer 3</v>
      </c>
      <c r="C281" s="412" t="str">
        <f>IF(WINDOWS!$C64="","",IF(WINDOWS!$L64="","","   "&amp;IF(WINDOWS!$E64="",WINDOWS!$K64,WINDOWS!$J64)&amp;" "&amp;WINDOWS!$L64&amp;IF(WINDOWS!$P64="",";",",")))</f>
        <v/>
      </c>
      <c r="D281" s="412" t="str">
        <f>IF(WINDOWS!$C64="","","! Layer 1")</f>
        <v/>
      </c>
    </row>
    <row r="282" spans="1:4">
      <c r="A282" s="412" t="str">
        <f>IF(WINDOWS!$C35="","",IF(WINDOWS!$X35="","","   "&amp;IF(WINDOWS!$E35="",WINDOWS!$W35,WINDOWS!$V35)&amp;" "&amp;WINDOWS!$X35&amp;IF(WINDOWS!$AB35="",";",",")))</f>
        <v xml:space="preserve">    KRYPTON 3MM,</v>
      </c>
      <c r="B282" s="412" t="str">
        <f>IF(WINDOWS!$C35="","","! Layer 4")</f>
        <v>! Layer 4</v>
      </c>
      <c r="C282" s="412" t="str">
        <f>IF(WINDOWS!$C64="","",IF(WINDOWS!$P64="","","   "&amp;IF(WINDOWS!$E64="",WINDOWS!$O64,WINDOWS!$N64)&amp;" "&amp;WINDOWS!$P64&amp;IF(WINDOWS!$T64="",";",",")))</f>
        <v/>
      </c>
      <c r="D282" s="412" t="str">
        <f>IF(WINDOWS!$C64="","","! Layer 2")</f>
        <v/>
      </c>
    </row>
    <row r="283" spans="1:4">
      <c r="A283" s="412" t="str">
        <f>IF(WINDOWS!$C35="","",IF(WINDOWS!$AB35="","","   "&amp;IF(WINDOWS!$E35="",WINDOWS!$AA35,WINDOWS!$Z35)&amp;" "&amp;WINDOWS!$AB35&amp;IF(WINDOWS!$AF35="",";",",")))</f>
        <v xml:space="preserve">    COATED POLY-88,</v>
      </c>
      <c r="B283" s="412" t="str">
        <f>IF(WINDOWS!$C35="","","! Layer 5")</f>
        <v>! Layer 5</v>
      </c>
      <c r="C283" s="412" t="str">
        <f>IF(WINDOWS!$C64="","",IF(WINDOWS!$T64="","","   "&amp;IF(WINDOWS!$E64="",WINDOWS!$S64,WINDOWS!$R64)&amp;" "&amp;WINDOWS!$T64&amp;IF(WINDOWS!$X64="",";",",")))</f>
        <v/>
      </c>
      <c r="D283" s="412" t="str">
        <f>IF(WINDOWS!$C64="","","! Layer 3")</f>
        <v/>
      </c>
    </row>
    <row r="284" spans="1:4">
      <c r="A284" s="412" t="str">
        <f>IF(WINDOWS!$C35="","",IF(WINDOWS!$AF35="","","   "&amp;IF(WINDOWS!$E35="",WINDOWS!$AE35,WINDOWS!$AD35)&amp;" "&amp;WINDOWS!$AF35&amp;IF(WINDOWS!$AJ35="",";",",")))</f>
        <v xml:space="preserve">    KRYPTON 8MM,</v>
      </c>
      <c r="B284" s="412" t="str">
        <f>IF(WINDOWS!$C35="","","! Layer 6")</f>
        <v>! Layer 6</v>
      </c>
      <c r="C284" s="412" t="str">
        <f>IF(WINDOWS!$C64="","",IF(WINDOWS!$X64="","","   "&amp;IF(WINDOWS!$E64="",WINDOWS!$W64,WINDOWS!$V64)&amp;" "&amp;WINDOWS!$X64&amp;IF(WINDOWS!$AB64="",";",",")))</f>
        <v/>
      </c>
      <c r="D284" s="412" t="str">
        <f>IF(WINDOWS!$C64="","","! Layer 4")</f>
        <v/>
      </c>
    </row>
    <row r="285" spans="1:4">
      <c r="A285" s="412" t="str">
        <f>IF(WINDOWS!$C35="","",IF(WINDOWS!$AJ35="","","   "&amp;IF(WINDOWS!$E35="",WINDOWS!$AI35,WINDOWS!$AH35)&amp;" "&amp;WINDOWS!$AJ35&amp;";"))</f>
        <v xml:space="preserve">    CLEAR 3MM;</v>
      </c>
      <c r="B285" s="412" t="str">
        <f>IF(WINDOWS!$C35="","","! Layer 7")</f>
        <v>! Layer 7</v>
      </c>
      <c r="C285" s="412" t="str">
        <f>IF(WINDOWS!$C64="","",IF(WINDOWS!$AB64="","","   "&amp;IF(WINDOWS!$E64="",WINDOWS!$AA64,WINDOWS!$Z64)&amp;" "&amp;WINDOWS!$AB64&amp;IF(WINDOWS!$AF64="",";",",")))</f>
        <v/>
      </c>
      <c r="D285" s="412" t="str">
        <f>IF(WINDOWS!$C64="","","! Layer 5")</f>
        <v/>
      </c>
    </row>
    <row r="286" spans="1:4">
      <c r="A286" s="412"/>
      <c r="B286" s="412"/>
      <c r="C286" s="412" t="str">
        <f>IF(WINDOWS!$C64="","",IF(WINDOWS!$AF64="","","   "&amp;IF(WINDOWS!$E64="",WINDOWS!$AE64,WINDOWS!$AD64)&amp;" "&amp;WINDOWS!$AF64&amp;IF(WINDOWS!$AJ64="",";",",")))</f>
        <v/>
      </c>
      <c r="D286" s="412" t="str">
        <f>IF(WINDOWS!$C64="","","! Layer 6")</f>
        <v/>
      </c>
    </row>
    <row r="287" spans="1:4">
      <c r="A287" s="412" t="str">
        <f>IF(WINDOWS!$C36="","","Construction")</f>
        <v>Construction</v>
      </c>
      <c r="B287" s="412" t="str">
        <f>IF(WINDOWS!$C36="","",IF(WINDOWS!$D36="","! User defined window construction from spreadheet WINDOWS,","! Based on E+ dataset "&amp;WINDOWS!$E36&amp;". "))</f>
        <v xml:space="preserve">! Based on E+ dataset Quadruple LoE Films (88) 3mm/8mm Krypton. </v>
      </c>
      <c r="C287" s="412" t="str">
        <f>IF(WINDOWS!$C64="","",IF(WINDOWS!$AJ64="","","   "&amp;IF(WINDOWS!$E64="",WINDOWS!$AI64,WINDOWS!$AH64)&amp;" "&amp;WINDOWS!$AJ64&amp;";"))</f>
        <v/>
      </c>
      <c r="D287" s="412" t="str">
        <f>IF(WINDOWS!$C64="","","! Layer 7")</f>
        <v/>
      </c>
    </row>
    <row r="288" spans="1:4">
      <c r="A288" s="412" t="str">
        <f>IF(WINDOWS!$C36="","","    Window Cons. "&amp;WINDOWS!$B36&amp;",")</f>
        <v xml:space="preserve">    Window Cons. 29,</v>
      </c>
      <c r="B288" s="412" t="str">
        <f>IF(WINDOWS!$C36="","","! for Project Cons. Name: "&amp;WINDOWS!$C36)</f>
        <v>! for Project Cons. Name: G29</v>
      </c>
      <c r="C288" s="412"/>
      <c r="D288" s="412"/>
    </row>
    <row r="289" spans="1:4">
      <c r="A289" s="412" t="str">
        <f>IF(WINDOWS!$C36="","",IF(WINDOWS!$L36="","","   "&amp;IF(WINDOWS!$E36="",WINDOWS!$K36,WINDOWS!$J36)&amp;" "&amp;WINDOWS!$L36&amp;IF(WINDOWS!$P36="",";",",")))</f>
        <v xml:space="preserve">    CLEAR 3MM,</v>
      </c>
      <c r="B289" s="412" t="str">
        <f>IF(WINDOWS!$C36="","","! Layer 1")</f>
        <v>! Layer 1</v>
      </c>
      <c r="C289" s="412" t="str">
        <f>IF(WINDOWS!$C65="","","Construction")</f>
        <v/>
      </c>
      <c r="D289" s="412" t="str">
        <f>IF(WINDOWS!$C65="","",IF(WINDOWS!$D65="","! User defined window construction from spreadheet WINDOWS,","! Based on E+ dataset "&amp;WINDOWS!$E65&amp;". "))</f>
        <v/>
      </c>
    </row>
    <row r="290" spans="1:4">
      <c r="A290" s="412" t="str">
        <f>IF(WINDOWS!$C36="","",IF(WINDOWS!$P36="","","   "&amp;IF(WINDOWS!$E36="",WINDOWS!$O36,WINDOWS!$N36)&amp;" "&amp;WINDOWS!$P36&amp;IF(WINDOWS!$T36="",";",",")))</f>
        <v xml:space="preserve">    KRYPTON 8MM,</v>
      </c>
      <c r="B290" s="412" t="str">
        <f>IF(WINDOWS!$C36="","","! Layer 2")</f>
        <v>! Layer 2</v>
      </c>
      <c r="C290" s="412" t="str">
        <f>IF(WINDOWS!$C65="","","    Window Cons. "&amp;WINDOWS!$B65&amp;",")</f>
        <v/>
      </c>
      <c r="D290" s="412" t="str">
        <f>IF(WINDOWS!$C65="","","! for Project Cons. Name: "&amp;WINDOWS!$C65)</f>
        <v/>
      </c>
    </row>
    <row r="291" spans="1:4">
      <c r="A291" s="412" t="str">
        <f>IF(WINDOWS!$C36="","",IF(WINDOWS!$T36="","","   "&amp;IF(WINDOWS!$E36="",WINDOWS!$S36,WINDOWS!$R36)&amp;" "&amp;WINDOWS!$T36&amp;IF(WINDOWS!$X36="",";",",")))</f>
        <v xml:space="preserve">    COATED POLY-88,</v>
      </c>
      <c r="B291" s="412" t="str">
        <f>IF(WINDOWS!$C36="","","! Layer 3")</f>
        <v>! Layer 3</v>
      </c>
      <c r="C291" s="412" t="str">
        <f>IF(WINDOWS!$C65="","",IF(WINDOWS!$L65="","","   "&amp;IF(WINDOWS!$E65="",WINDOWS!$K65,WINDOWS!$J65)&amp;" "&amp;WINDOWS!$L65&amp;IF(WINDOWS!$P65="",";",",")))</f>
        <v/>
      </c>
      <c r="D291" s="412" t="str">
        <f>IF(WINDOWS!$C65="","","! Layer 1")</f>
        <v/>
      </c>
    </row>
    <row r="292" spans="1:4">
      <c r="A292" s="412" t="str">
        <f>IF(WINDOWS!$C36="","",IF(WINDOWS!$X36="","","   "&amp;IF(WINDOWS!$E36="",WINDOWS!$W36,WINDOWS!$V36)&amp;" "&amp;WINDOWS!$X36&amp;IF(WINDOWS!$AB36="",";",",")))</f>
        <v xml:space="preserve">    KRYPTON 3MM,</v>
      </c>
      <c r="B292" s="412" t="str">
        <f>IF(WINDOWS!$C36="","","! Layer 4")</f>
        <v>! Layer 4</v>
      </c>
      <c r="C292" s="412" t="str">
        <f>IF(WINDOWS!$C65="","",IF(WINDOWS!$P65="","","   "&amp;IF(WINDOWS!$E65="",WINDOWS!$O65,WINDOWS!$N65)&amp;" "&amp;WINDOWS!$P65&amp;IF(WINDOWS!$T65="",";",",")))</f>
        <v/>
      </c>
      <c r="D292" s="412" t="str">
        <f>IF(WINDOWS!$C65="","","! Layer 2")</f>
        <v/>
      </c>
    </row>
    <row r="293" spans="1:4">
      <c r="A293" s="412" t="str">
        <f>IF(WINDOWS!$C36="","",IF(WINDOWS!$AB36="","","   "&amp;IF(WINDOWS!$E36="",WINDOWS!$AA36,WINDOWS!$Z36)&amp;" "&amp;WINDOWS!$AB36&amp;IF(WINDOWS!$AF36="",";",",")))</f>
        <v xml:space="preserve">    COATED POLY-88,</v>
      </c>
      <c r="B293" s="412" t="str">
        <f>IF(WINDOWS!$C36="","","! Layer 5")</f>
        <v>! Layer 5</v>
      </c>
      <c r="C293" s="412" t="str">
        <f>IF(WINDOWS!$C65="","",IF(WINDOWS!$T65="","","   "&amp;IF(WINDOWS!$E65="",WINDOWS!$S65,WINDOWS!$R65)&amp;" "&amp;WINDOWS!$T65&amp;IF(WINDOWS!$X65="",";",",")))</f>
        <v/>
      </c>
      <c r="D293" s="412" t="str">
        <f>IF(WINDOWS!$C65="","","! Layer 3")</f>
        <v/>
      </c>
    </row>
    <row r="294" spans="1:4">
      <c r="A294" s="412" t="str">
        <f>IF(WINDOWS!$C36="","",IF(WINDOWS!$AF36="","","   "&amp;IF(WINDOWS!$E36="",WINDOWS!$AE36,WINDOWS!$AD36)&amp;" "&amp;WINDOWS!$AF36&amp;IF(WINDOWS!$AJ36="",";",",")))</f>
        <v xml:space="preserve">    KRYPTON 8MM,</v>
      </c>
      <c r="B294" s="412" t="str">
        <f>IF(WINDOWS!$C36="","","! Layer 6")</f>
        <v>! Layer 6</v>
      </c>
      <c r="C294" s="412" t="str">
        <f>IF(WINDOWS!$C65="","",IF(WINDOWS!$X65="","","   "&amp;IF(WINDOWS!$E65="",WINDOWS!$W65,WINDOWS!$V65)&amp;" "&amp;WINDOWS!$X65&amp;IF(WINDOWS!$AB65="",";",",")))</f>
        <v/>
      </c>
      <c r="D294" s="412" t="str">
        <f>IF(WINDOWS!$C65="","","! Layer 4")</f>
        <v/>
      </c>
    </row>
    <row r="295" spans="1:4">
      <c r="A295" s="412" t="str">
        <f>IF(WINDOWS!$C36="","",IF(WINDOWS!$AJ36="","","   "&amp;IF(WINDOWS!$E36="",WINDOWS!$AI36,WINDOWS!$AH36)&amp;" "&amp;WINDOWS!$AJ36&amp;";"))</f>
        <v xml:space="preserve">    CLEAR 3MM;</v>
      </c>
      <c r="B295" s="412" t="str">
        <f>IF(WINDOWS!$C36="","","! Layer 7")</f>
        <v>! Layer 7</v>
      </c>
      <c r="C295" s="412" t="str">
        <f>IF(WINDOWS!$C65="","",IF(WINDOWS!$AB65="","","   "&amp;IF(WINDOWS!$E65="",WINDOWS!$AA65,WINDOWS!$Z65)&amp;" "&amp;WINDOWS!$AB65&amp;IF(WINDOWS!$AF65="",";",",")))</f>
        <v/>
      </c>
      <c r="D295" s="412" t="str">
        <f>IF(WINDOWS!$C65="","","! Layer 5")</f>
        <v/>
      </c>
    </row>
    <row r="296" spans="1:4">
      <c r="A296" s="412"/>
      <c r="B296" s="412"/>
      <c r="C296" s="412" t="str">
        <f>IF(WINDOWS!$C65="","",IF(WINDOWS!$AF65="","","   "&amp;IF(WINDOWS!$E65="",WINDOWS!$AE65,WINDOWS!$AD65)&amp;" "&amp;WINDOWS!$AF65&amp;IF(WINDOWS!$AJ65="",";",",")))</f>
        <v/>
      </c>
      <c r="D296" s="412" t="str">
        <f>IF(WINDOWS!$C65="","","! Layer 6")</f>
        <v/>
      </c>
    </row>
    <row r="297" spans="1:4">
      <c r="A297" s="412" t="str">
        <f>IF(WINDOWS!$C37="","","Construction")</f>
        <v>Construction</v>
      </c>
      <c r="B297" s="412" t="str">
        <f>IF(WINDOWS!$C37="","",IF(WINDOWS!$D37="","! User defined window construction from spreadheet WINDOWS,","! Based on E+ dataset "&amp;WINDOWS!$E37&amp;". "))</f>
        <v xml:space="preserve">! Based on E+ dataset Quadruple LoE Films (88) 3mm/8mm Krypton. </v>
      </c>
      <c r="C297" s="412" t="str">
        <f>IF(WINDOWS!$C65="","",IF(WINDOWS!$AJ65="","","   "&amp;IF(WINDOWS!$E65="",WINDOWS!$AI65,WINDOWS!$AH65)&amp;" "&amp;WINDOWS!$AJ65&amp;";"))</f>
        <v/>
      </c>
      <c r="D297" s="412" t="str">
        <f>IF(WINDOWS!$C65="","","! Layer 7")</f>
        <v/>
      </c>
    </row>
    <row r="298" spans="1:4">
      <c r="A298" s="412" t="str">
        <f>IF(WINDOWS!$C37="","","    Window Cons. "&amp;WINDOWS!$B37&amp;",")</f>
        <v xml:space="preserve">    Window Cons. 30,</v>
      </c>
      <c r="B298" s="412" t="str">
        <f>IF(WINDOWS!$C37="","","! for Project Cons. Name: "&amp;WINDOWS!$C37)</f>
        <v>! for Project Cons. Name: G30</v>
      </c>
      <c r="C298" s="412"/>
      <c r="D298" s="412"/>
    </row>
    <row r="299" spans="1:4">
      <c r="A299" s="412" t="str">
        <f>IF(WINDOWS!$C37="","",IF(WINDOWS!$L37="","","   "&amp;IF(WINDOWS!$E37="",WINDOWS!$K37,WINDOWS!$J37)&amp;" "&amp;WINDOWS!$L37&amp;IF(WINDOWS!$P37="",";",",")))</f>
        <v xml:space="preserve">    CLEAR 3MM,</v>
      </c>
      <c r="B299" s="412" t="str">
        <f>IF(WINDOWS!$C37="","","! Layer 1")</f>
        <v>! Layer 1</v>
      </c>
      <c r="C299" s="412" t="str">
        <f>IF(WINDOWS!$C66="","","Construction")</f>
        <v/>
      </c>
      <c r="D299" s="412" t="str">
        <f>IF(WINDOWS!$C66="","",IF(WINDOWS!$D66="","! User defined window construction from spreadheet WINDOWS,","! Based on E+ dataset "&amp;WINDOWS!$E66&amp;". "))</f>
        <v/>
      </c>
    </row>
    <row r="300" spans="1:4">
      <c r="A300" s="412" t="str">
        <f>IF(WINDOWS!$C37="","",IF(WINDOWS!$P37="","","   "&amp;IF(WINDOWS!$E37="",WINDOWS!$O37,WINDOWS!$N37)&amp;" "&amp;WINDOWS!$P37&amp;IF(WINDOWS!$T37="",";",",")))</f>
        <v xml:space="preserve">    KRYPTON 8MM,</v>
      </c>
      <c r="B300" s="412" t="str">
        <f>IF(WINDOWS!$C37="","","! Layer 2")</f>
        <v>! Layer 2</v>
      </c>
      <c r="C300" s="412" t="str">
        <f>IF(WINDOWS!$C66="","","    Window Cons. "&amp;WINDOWS!$B66&amp;",")</f>
        <v/>
      </c>
      <c r="D300" s="412" t="str">
        <f>IF(WINDOWS!$C66="","","! for Project Cons. Name: "&amp;WINDOWS!$C66)</f>
        <v/>
      </c>
    </row>
    <row r="301" spans="1:4">
      <c r="A301" s="412" t="str">
        <f>IF(WINDOWS!$C37="","",IF(WINDOWS!$T37="","","   "&amp;IF(WINDOWS!$E37="",WINDOWS!$S37,WINDOWS!$R37)&amp;" "&amp;WINDOWS!$T37&amp;IF(WINDOWS!$X37="",";",",")))</f>
        <v xml:space="preserve">    COATED POLY-88,</v>
      </c>
      <c r="B301" s="412" t="str">
        <f>IF(WINDOWS!$C37="","","! Layer 3")</f>
        <v>! Layer 3</v>
      </c>
      <c r="C301" s="412" t="str">
        <f>IF(WINDOWS!$C66="","",IF(WINDOWS!$L66="","","   "&amp;IF(WINDOWS!$E66="",WINDOWS!$K66,WINDOWS!$J66)&amp;" "&amp;WINDOWS!$L66&amp;IF(WINDOWS!$P66="",";",",")))</f>
        <v/>
      </c>
      <c r="D301" s="412" t="str">
        <f>IF(WINDOWS!$C66="","","! Layer 1")</f>
        <v/>
      </c>
    </row>
    <row r="302" spans="1:4">
      <c r="A302" s="412" t="str">
        <f>IF(WINDOWS!$C37="","",IF(WINDOWS!$X37="","","   "&amp;IF(WINDOWS!$E37="",WINDOWS!$W37,WINDOWS!$V37)&amp;" "&amp;WINDOWS!$X37&amp;IF(WINDOWS!$AB37="",";",",")))</f>
        <v xml:space="preserve">    KRYPTON 3MM,</v>
      </c>
      <c r="B302" s="412" t="str">
        <f>IF(WINDOWS!$C37="","","! Layer 4")</f>
        <v>! Layer 4</v>
      </c>
      <c r="C302" s="412" t="str">
        <f>IF(WINDOWS!$C66="","",IF(WINDOWS!$P66="","","   "&amp;IF(WINDOWS!$E66="",WINDOWS!$O66,WINDOWS!$N66)&amp;" "&amp;WINDOWS!$P66&amp;IF(WINDOWS!$T66="",";",",")))</f>
        <v/>
      </c>
      <c r="D302" s="412" t="str">
        <f>IF(WINDOWS!$C66="","","! Layer 2")</f>
        <v/>
      </c>
    </row>
    <row r="303" spans="1:4">
      <c r="A303" s="412" t="str">
        <f>IF(WINDOWS!$C37="","",IF(WINDOWS!$AB37="","","   "&amp;IF(WINDOWS!$E37="",WINDOWS!$AA37,WINDOWS!$Z37)&amp;" "&amp;WINDOWS!$AB37&amp;IF(WINDOWS!$AF37="",";",",")))</f>
        <v xml:space="preserve">    COATED POLY-88,</v>
      </c>
      <c r="B303" s="412" t="str">
        <f>IF(WINDOWS!$C37="","","! Layer 5")</f>
        <v>! Layer 5</v>
      </c>
      <c r="C303" s="412" t="str">
        <f>IF(WINDOWS!$C66="","",IF(WINDOWS!$T66="","","   "&amp;IF(WINDOWS!$E66="",WINDOWS!$S66,WINDOWS!$R66)&amp;" "&amp;WINDOWS!$T66&amp;IF(WINDOWS!$X66="",";",",")))</f>
        <v/>
      </c>
      <c r="D303" s="412" t="str">
        <f>IF(WINDOWS!$C66="","","! Layer 3")</f>
        <v/>
      </c>
    </row>
    <row r="304" spans="1:4">
      <c r="A304" s="412" t="str">
        <f>IF(WINDOWS!$C37="","",IF(WINDOWS!$AF37="","","   "&amp;IF(WINDOWS!$E37="",WINDOWS!$AE37,WINDOWS!$AD37)&amp;" "&amp;WINDOWS!$AF37&amp;IF(WINDOWS!$AJ37="",";",",")))</f>
        <v xml:space="preserve">    KRYPTON 8MM,</v>
      </c>
      <c r="B304" s="412" t="str">
        <f>IF(WINDOWS!$C37="","","! Layer 6")</f>
        <v>! Layer 6</v>
      </c>
      <c r="C304" s="412" t="str">
        <f>IF(WINDOWS!$C66="","",IF(WINDOWS!$X66="","","   "&amp;IF(WINDOWS!$E66="",WINDOWS!$W66,WINDOWS!$V66)&amp;" "&amp;WINDOWS!$X66&amp;IF(WINDOWS!$AB66="",";",",")))</f>
        <v/>
      </c>
      <c r="D304" s="412" t="str">
        <f>IF(WINDOWS!$C66="","","! Layer 4")</f>
        <v/>
      </c>
    </row>
    <row r="305" spans="1:4">
      <c r="A305" s="412" t="str">
        <f>IF(WINDOWS!$C37="","",IF(WINDOWS!$AJ37="","","   "&amp;IF(WINDOWS!$E37="",WINDOWS!$AI37,WINDOWS!$AH37)&amp;" "&amp;WINDOWS!$AJ37&amp;";"))</f>
        <v xml:space="preserve">    CLEAR 3MM;</v>
      </c>
      <c r="B305" s="412" t="str">
        <f>IF(WINDOWS!$C37="","","! Layer 7")</f>
        <v>! Layer 7</v>
      </c>
      <c r="C305" s="412" t="str">
        <f>IF(WINDOWS!$C66="","",IF(WINDOWS!$AB66="","","   "&amp;IF(WINDOWS!$E66="",WINDOWS!$AA66,WINDOWS!$Z66)&amp;" "&amp;WINDOWS!$AB66&amp;IF(WINDOWS!$AF66="",";",",")))</f>
        <v/>
      </c>
      <c r="D305" s="412" t="str">
        <f>IF(WINDOWS!$C66="","","! Layer 5")</f>
        <v/>
      </c>
    </row>
    <row r="306" spans="1:4">
      <c r="A306" s="412"/>
      <c r="B306" s="412"/>
      <c r="C306" s="412" t="str">
        <f>IF(WINDOWS!$C66="","",IF(WINDOWS!$AF66="","","   "&amp;IF(WINDOWS!$E66="",WINDOWS!$AE66,WINDOWS!$AD66)&amp;" "&amp;WINDOWS!$AF66&amp;IF(WINDOWS!$AJ66="",";",",")))</f>
        <v/>
      </c>
      <c r="D306" s="412" t="str">
        <f>IF(WINDOWS!$C66="","","! Layer 6")</f>
        <v/>
      </c>
    </row>
    <row r="307" spans="1:4">
      <c r="A307" s="412" t="str">
        <f>IF(WINDOWS!$C38="","","Construction")</f>
        <v>Construction</v>
      </c>
      <c r="B307" s="412" t="str">
        <f>IF(WINDOWS!$C38="","",IF(WINDOWS!$D38="","! User defined window construction from spreadheet WINDOWS,","! Based on E+ dataset "&amp;WINDOWS!$E38&amp;". "))</f>
        <v xml:space="preserve">! Based on E+ dataset Quadruple LoE Films (88) 3mm/8mm Krypton. </v>
      </c>
      <c r="C307" s="412" t="str">
        <f>IF(WINDOWS!$C66="","",IF(WINDOWS!$AJ66="","","   "&amp;IF(WINDOWS!$E66="",WINDOWS!$AI66,WINDOWS!$AH66)&amp;" "&amp;WINDOWS!$AJ66&amp;";"))</f>
        <v/>
      </c>
      <c r="D307" s="412" t="str">
        <f>IF(WINDOWS!$C66="","","! Layer 7")</f>
        <v/>
      </c>
    </row>
    <row r="308" spans="1:4">
      <c r="A308" s="412" t="str">
        <f>IF(WINDOWS!$C38="","","    Window Cons. "&amp;WINDOWS!$B38&amp;",")</f>
        <v xml:space="preserve">    Window Cons. 31,</v>
      </c>
      <c r="B308" s="412" t="str">
        <f>IF(WINDOWS!$C38="","","! for Project Cons. Name: "&amp;WINDOWS!$C38)</f>
        <v>! for Project Cons. Name: G31</v>
      </c>
      <c r="C308" s="412"/>
      <c r="D308" s="412"/>
    </row>
    <row r="309" spans="1:4">
      <c r="A309" s="412" t="str">
        <f>IF(WINDOWS!$C38="","",IF(WINDOWS!$L38="","","   "&amp;IF(WINDOWS!$E38="",WINDOWS!$K38,WINDOWS!$J38)&amp;" "&amp;WINDOWS!$L38&amp;IF(WINDOWS!$P38="",";",",")))</f>
        <v xml:space="preserve">    CLEAR 3MM,</v>
      </c>
      <c r="B309" s="412" t="str">
        <f>IF(WINDOWS!$C38="","","! Layer 1")</f>
        <v>! Layer 1</v>
      </c>
      <c r="C309" s="412" t="str">
        <f>IF(WINDOWS!$C67="","","Construction")</f>
        <v/>
      </c>
      <c r="D309" s="412" t="str">
        <f>IF(WINDOWS!$C67="","",IF(WINDOWS!$D67="","! User defined window construction from spreadheet WINDOWS,","! Based on E+ dataset "&amp;WINDOWS!$E67&amp;". "))</f>
        <v/>
      </c>
    </row>
    <row r="310" spans="1:4">
      <c r="A310" s="412" t="str">
        <f>IF(WINDOWS!$C38="","",IF(WINDOWS!$P38="","","   "&amp;IF(WINDOWS!$E38="",WINDOWS!$O38,WINDOWS!$N38)&amp;" "&amp;WINDOWS!$P38&amp;IF(WINDOWS!$T38="",";",",")))</f>
        <v xml:space="preserve">    KRYPTON 8MM,</v>
      </c>
      <c r="B310" s="412" t="str">
        <f>IF(WINDOWS!$C38="","","! Layer 2")</f>
        <v>! Layer 2</v>
      </c>
      <c r="C310" s="412" t="str">
        <f>IF(WINDOWS!$C67="","","    Window Cons. "&amp;WINDOWS!$B67&amp;",")</f>
        <v/>
      </c>
      <c r="D310" s="412" t="str">
        <f>IF(WINDOWS!$C67="","","! for Project Cons. Name: "&amp;WINDOWS!$C67)</f>
        <v/>
      </c>
    </row>
    <row r="311" spans="1:4">
      <c r="A311" s="412" t="str">
        <f>IF(WINDOWS!$C38="","",IF(WINDOWS!$T38="","","   "&amp;IF(WINDOWS!$E38="",WINDOWS!$S38,WINDOWS!$R38)&amp;" "&amp;WINDOWS!$T38&amp;IF(WINDOWS!$X38="",";",",")))</f>
        <v xml:space="preserve">    COATED POLY-88,</v>
      </c>
      <c r="B311" s="412" t="str">
        <f>IF(WINDOWS!$C38="","","! Layer 3")</f>
        <v>! Layer 3</v>
      </c>
      <c r="C311" s="412" t="str">
        <f>IF(WINDOWS!$C67="","",IF(WINDOWS!$L67="","","   "&amp;IF(WINDOWS!$E67="",WINDOWS!$K67,WINDOWS!$J67)&amp;" "&amp;WINDOWS!$L67&amp;IF(WINDOWS!$P67="",";",",")))</f>
        <v/>
      </c>
      <c r="D311" s="412" t="str">
        <f>IF(WINDOWS!$C67="","","! Layer 1")</f>
        <v/>
      </c>
    </row>
    <row r="312" spans="1:4">
      <c r="A312" s="412" t="str">
        <f>IF(WINDOWS!$C38="","",IF(WINDOWS!$X38="","","   "&amp;IF(WINDOWS!$E38="",WINDOWS!$W38,WINDOWS!$V38)&amp;" "&amp;WINDOWS!$X38&amp;IF(WINDOWS!$AB38="",";",",")))</f>
        <v xml:space="preserve">    KRYPTON 3MM,</v>
      </c>
      <c r="B312" s="412" t="str">
        <f>IF(WINDOWS!$C38="","","! Layer 4")</f>
        <v>! Layer 4</v>
      </c>
      <c r="C312" s="412" t="str">
        <f>IF(WINDOWS!$C67="","",IF(WINDOWS!$P67="","","   "&amp;IF(WINDOWS!$E67="",WINDOWS!$O67,WINDOWS!$N67)&amp;" "&amp;WINDOWS!$P67&amp;IF(WINDOWS!$T67="",";",",")))</f>
        <v/>
      </c>
      <c r="D312" s="412" t="str">
        <f>IF(WINDOWS!$C67="","","! Layer 2")</f>
        <v/>
      </c>
    </row>
    <row r="313" spans="1:4">
      <c r="A313" s="412" t="str">
        <f>IF(WINDOWS!$C38="","",IF(WINDOWS!$AB38="","","   "&amp;IF(WINDOWS!$E38="",WINDOWS!$AA38,WINDOWS!$Z38)&amp;" "&amp;WINDOWS!$AB38&amp;IF(WINDOWS!$AF38="",";",",")))</f>
        <v xml:space="preserve">    COATED POLY-88,</v>
      </c>
      <c r="B313" s="412" t="str">
        <f>IF(WINDOWS!$C38="","","! Layer 5")</f>
        <v>! Layer 5</v>
      </c>
      <c r="C313" s="412" t="str">
        <f>IF(WINDOWS!$C67="","",IF(WINDOWS!$T67="","","   "&amp;IF(WINDOWS!$E67="",WINDOWS!$S67,WINDOWS!$R67)&amp;" "&amp;WINDOWS!$T67&amp;IF(WINDOWS!$X67="",";",",")))</f>
        <v/>
      </c>
      <c r="D313" s="412" t="str">
        <f>IF(WINDOWS!$C67="","","! Layer 3")</f>
        <v/>
      </c>
    </row>
    <row r="314" spans="1:4">
      <c r="A314" s="412" t="str">
        <f>IF(WINDOWS!$C38="","",IF(WINDOWS!$AF38="","","   "&amp;IF(WINDOWS!$E38="",WINDOWS!$AE38,WINDOWS!$AD38)&amp;" "&amp;WINDOWS!$AF38&amp;IF(WINDOWS!$AJ38="",";",",")))</f>
        <v xml:space="preserve">    KRYPTON 8MM,</v>
      </c>
      <c r="B314" s="412" t="str">
        <f>IF(WINDOWS!$C38="","","! Layer 6")</f>
        <v>! Layer 6</v>
      </c>
      <c r="C314" s="412" t="str">
        <f>IF(WINDOWS!$C67="","",IF(WINDOWS!$X67="","","   "&amp;IF(WINDOWS!$E67="",WINDOWS!$W67,WINDOWS!$V67)&amp;" "&amp;WINDOWS!$X67&amp;IF(WINDOWS!$AB67="",";",",")))</f>
        <v/>
      </c>
      <c r="D314" s="412" t="str">
        <f>IF(WINDOWS!$C67="","","! Layer 4")</f>
        <v/>
      </c>
    </row>
    <row r="315" spans="1:4">
      <c r="A315" s="412" t="str">
        <f>IF(WINDOWS!$C38="","",IF(WINDOWS!$AJ38="","","   "&amp;IF(WINDOWS!$E38="",WINDOWS!$AI38,WINDOWS!$AH38)&amp;" "&amp;WINDOWS!$AJ38&amp;";"))</f>
        <v xml:space="preserve">    CLEAR 3MM;</v>
      </c>
      <c r="B315" s="412" t="str">
        <f>IF(WINDOWS!$C38="","","! Layer 7")</f>
        <v>! Layer 7</v>
      </c>
      <c r="C315" s="412" t="str">
        <f>IF(WINDOWS!$C67="","",IF(WINDOWS!$AB67="","","   "&amp;IF(WINDOWS!$E67="",WINDOWS!$AA67,WINDOWS!$Z67)&amp;" "&amp;WINDOWS!$AB67&amp;IF(WINDOWS!$AF67="",";",",")))</f>
        <v/>
      </c>
      <c r="D315" s="412" t="str">
        <f>IF(WINDOWS!$C67="","","! Layer 5")</f>
        <v/>
      </c>
    </row>
    <row r="316" spans="1:4">
      <c r="A316" s="412"/>
      <c r="B316" s="412"/>
      <c r="C316" s="412" t="str">
        <f>IF(WINDOWS!$C67="","",IF(WINDOWS!$AF67="","","   "&amp;IF(WINDOWS!$E67="",WINDOWS!$AE67,WINDOWS!$AD67)&amp;" "&amp;WINDOWS!$AF67&amp;IF(WINDOWS!$AJ67="",";",",")))</f>
        <v/>
      </c>
      <c r="D316" s="412" t="str">
        <f>IF(WINDOWS!$C67="","","! Layer 6")</f>
        <v/>
      </c>
    </row>
    <row r="317" spans="1:4">
      <c r="A317" s="412" t="str">
        <f>IF(WINDOWS!$C39="","","Construction")</f>
        <v>Construction</v>
      </c>
      <c r="B317" s="412" t="str">
        <f>IF(WINDOWS!$C39="","",IF(WINDOWS!$D39="","! User defined window construction from spreadheet WINDOWS,","! Based on E+ dataset "&amp;WINDOWS!$E39&amp;". "))</f>
        <v xml:space="preserve">! Based on E+ dataset Quadruple LoE Films (88) 3mm/8mm Krypton. </v>
      </c>
      <c r="C317" s="412" t="str">
        <f>IF(WINDOWS!$C67="","",IF(WINDOWS!$AJ67="","","   "&amp;IF(WINDOWS!$E67="",WINDOWS!$AI67,WINDOWS!$AH67)&amp;" "&amp;WINDOWS!$AJ67&amp;";"))</f>
        <v/>
      </c>
      <c r="D317" s="412" t="str">
        <f>IF(WINDOWS!$C67="","","! Layer 7")</f>
        <v/>
      </c>
    </row>
    <row r="318" spans="1:4">
      <c r="A318" s="412" t="str">
        <f>IF(WINDOWS!$C39="","","    Window Cons. "&amp;WINDOWS!$B39&amp;",")</f>
        <v xml:space="preserve">    Window Cons. 32,</v>
      </c>
      <c r="B318" s="412" t="str">
        <f>IF(WINDOWS!$C39="","","! for Project Cons. Name: "&amp;WINDOWS!$C39)</f>
        <v>! for Project Cons. Name: G32</v>
      </c>
      <c r="C318" s="412"/>
      <c r="D318" s="412"/>
    </row>
    <row r="319" spans="1:4">
      <c r="A319" s="412" t="str">
        <f>IF(WINDOWS!$C39="","",IF(WINDOWS!$L39="","","   "&amp;IF(WINDOWS!$E39="",WINDOWS!$K39,WINDOWS!$J39)&amp;" "&amp;WINDOWS!$L39&amp;IF(WINDOWS!$P39="",";",",")))</f>
        <v xml:space="preserve">    CLEAR 3MM,</v>
      </c>
      <c r="B319" s="412" t="str">
        <f>IF(WINDOWS!$C39="","","! Layer 1")</f>
        <v>! Layer 1</v>
      </c>
      <c r="C319" s="412" t="str">
        <f>IF(WINDOWS!$C68="","","Construction")</f>
        <v/>
      </c>
      <c r="D319" s="412" t="str">
        <f>IF(WINDOWS!$C68="","",IF(WINDOWS!$D68="","! User defined window construction from spreadheet WINDOWS,","! Based on E+ dataset "&amp;WINDOWS!$E68&amp;". "))</f>
        <v/>
      </c>
    </row>
    <row r="320" spans="1:4">
      <c r="A320" s="412" t="str">
        <f>IF(WINDOWS!$C39="","",IF(WINDOWS!$P39="","","   "&amp;IF(WINDOWS!$E39="",WINDOWS!$O39,WINDOWS!$N39)&amp;" "&amp;WINDOWS!$P39&amp;IF(WINDOWS!$T39="",";",",")))</f>
        <v xml:space="preserve">    KRYPTON 8MM,</v>
      </c>
      <c r="B320" s="412" t="str">
        <f>IF(WINDOWS!$C39="","","! Layer 2")</f>
        <v>! Layer 2</v>
      </c>
      <c r="C320" s="412" t="str">
        <f>IF(WINDOWS!$C68="","","    Window Cons. "&amp;WINDOWS!$B68&amp;",")</f>
        <v/>
      </c>
      <c r="D320" s="412" t="str">
        <f>IF(WINDOWS!$C68="","","! for Project Cons. Name: "&amp;WINDOWS!$C68)</f>
        <v/>
      </c>
    </row>
    <row r="321" spans="1:4">
      <c r="A321" s="412" t="str">
        <f>IF(WINDOWS!$C39="","",IF(WINDOWS!$T39="","","   "&amp;IF(WINDOWS!$E39="",WINDOWS!$S39,WINDOWS!$R39)&amp;" "&amp;WINDOWS!$T39&amp;IF(WINDOWS!$X39="",";",",")))</f>
        <v xml:space="preserve">    COATED POLY-88,</v>
      </c>
      <c r="B321" s="412" t="str">
        <f>IF(WINDOWS!$C39="","","! Layer 3")</f>
        <v>! Layer 3</v>
      </c>
      <c r="C321" s="412" t="str">
        <f>IF(WINDOWS!$C68="","",IF(WINDOWS!$L68="","","   "&amp;IF(WINDOWS!$E68="",WINDOWS!$K68,WINDOWS!$J68)&amp;" "&amp;WINDOWS!$L68&amp;IF(WINDOWS!$P68="",";",",")))</f>
        <v/>
      </c>
      <c r="D321" s="412" t="str">
        <f>IF(WINDOWS!$C68="","","! Layer 1")</f>
        <v/>
      </c>
    </row>
    <row r="322" spans="1:4">
      <c r="A322" s="412" t="str">
        <f>IF(WINDOWS!$C39="","",IF(WINDOWS!$X39="","","   "&amp;IF(WINDOWS!$E39="",WINDOWS!$W39,WINDOWS!$V39)&amp;" "&amp;WINDOWS!$X39&amp;IF(WINDOWS!$AB39="",";",",")))</f>
        <v xml:space="preserve">    KRYPTON 3MM,</v>
      </c>
      <c r="B322" s="412" t="str">
        <f>IF(WINDOWS!$C39="","","! Layer 4")</f>
        <v>! Layer 4</v>
      </c>
      <c r="C322" s="412" t="str">
        <f>IF(WINDOWS!$C68="","",IF(WINDOWS!$P68="","","   "&amp;IF(WINDOWS!$E68="",WINDOWS!$O68,WINDOWS!$N68)&amp;" "&amp;WINDOWS!$P68&amp;IF(WINDOWS!$T68="",";",",")))</f>
        <v/>
      </c>
      <c r="D322" s="412" t="str">
        <f>IF(WINDOWS!$C68="","","! Layer 2")</f>
        <v/>
      </c>
    </row>
    <row r="323" spans="1:4">
      <c r="A323" s="412" t="str">
        <f>IF(WINDOWS!$C39="","",IF(WINDOWS!$AB39="","","   "&amp;IF(WINDOWS!$E39="",WINDOWS!$AA39,WINDOWS!$Z39)&amp;" "&amp;WINDOWS!$AB39&amp;IF(WINDOWS!$AF39="",";",",")))</f>
        <v xml:space="preserve">    COATED POLY-88,</v>
      </c>
      <c r="B323" s="412" t="str">
        <f>IF(WINDOWS!$C39="","","! Layer 5")</f>
        <v>! Layer 5</v>
      </c>
      <c r="C323" s="412" t="str">
        <f>IF(WINDOWS!$C68="","",IF(WINDOWS!$T68="","","   "&amp;IF(WINDOWS!$E68="",WINDOWS!$S68,WINDOWS!$R68)&amp;" "&amp;WINDOWS!$T68&amp;IF(WINDOWS!$X68="",";",",")))</f>
        <v/>
      </c>
      <c r="D323" s="412" t="str">
        <f>IF(WINDOWS!$C68="","","! Layer 3")</f>
        <v/>
      </c>
    </row>
    <row r="324" spans="1:4">
      <c r="A324" s="412" t="str">
        <f>IF(WINDOWS!$C39="","",IF(WINDOWS!$AF39="","","   "&amp;IF(WINDOWS!$E39="",WINDOWS!$AE39,WINDOWS!$AD39)&amp;" "&amp;WINDOWS!$AF39&amp;IF(WINDOWS!$AJ39="",";",",")))</f>
        <v xml:space="preserve">    KRYPTON 8MM,</v>
      </c>
      <c r="B324" s="412" t="str">
        <f>IF(WINDOWS!$C39="","","! Layer 6")</f>
        <v>! Layer 6</v>
      </c>
      <c r="C324" s="412" t="str">
        <f>IF(WINDOWS!$C68="","",IF(WINDOWS!$X68="","","   "&amp;IF(WINDOWS!$E68="",WINDOWS!$W68,WINDOWS!$V68)&amp;" "&amp;WINDOWS!$X68&amp;IF(WINDOWS!$AB68="",";",",")))</f>
        <v/>
      </c>
      <c r="D324" s="412" t="str">
        <f>IF(WINDOWS!$C68="","","! Layer 4")</f>
        <v/>
      </c>
    </row>
    <row r="325" spans="1:4">
      <c r="A325" s="412" t="str">
        <f>IF(WINDOWS!$C39="","",IF(WINDOWS!$AJ39="","","   "&amp;IF(WINDOWS!$E39="",WINDOWS!$AI39,WINDOWS!$AH39)&amp;" "&amp;WINDOWS!$AJ39&amp;";"))</f>
        <v xml:space="preserve">    CLEAR 3MM;</v>
      </c>
      <c r="B325" s="412" t="str">
        <f>IF(WINDOWS!$C39="","","! Layer 7")</f>
        <v>! Layer 7</v>
      </c>
      <c r="C325" s="412" t="str">
        <f>IF(WINDOWS!$C68="","",IF(WINDOWS!$AB68="","","   "&amp;IF(WINDOWS!$E68="",WINDOWS!$AA68,WINDOWS!$Z68)&amp;" "&amp;WINDOWS!$AB68&amp;IF(WINDOWS!$AF68="",";",",")))</f>
        <v/>
      </c>
      <c r="D325" s="412" t="str">
        <f>IF(WINDOWS!$C68="","","! Layer 5")</f>
        <v/>
      </c>
    </row>
    <row r="326" spans="1:4">
      <c r="A326" s="412"/>
      <c r="B326" s="412"/>
      <c r="C326" s="412" t="str">
        <f>IF(WINDOWS!$C68="","",IF(WINDOWS!$AF68="","","   "&amp;IF(WINDOWS!$E68="",WINDOWS!$AE68,WINDOWS!$AD68)&amp;" "&amp;WINDOWS!$AF68&amp;IF(WINDOWS!$AJ68="",";",",")))</f>
        <v/>
      </c>
      <c r="D326" s="412" t="str">
        <f>IF(WINDOWS!$C68="","","! Layer 6")</f>
        <v/>
      </c>
    </row>
    <row r="327" spans="1:4">
      <c r="A327" s="412"/>
      <c r="B327" s="412"/>
      <c r="C327" s="412" t="str">
        <f>IF(WINDOWS!$C68="","",IF(WINDOWS!$AJ68="","","   "&amp;IF(WINDOWS!$E68="",WINDOWS!$AI68,WINDOWS!$AH68)&amp;" "&amp;WINDOWS!$AJ68&amp;";"))</f>
        <v/>
      </c>
      <c r="D327" s="412" t="str">
        <f>IF(WINDOWS!$C68="","","! Layer 7")</f>
        <v/>
      </c>
    </row>
    <row r="328" spans="1:4">
      <c r="A328" s="412"/>
      <c r="B328" s="412"/>
      <c r="C328" s="412"/>
      <c r="D328" s="412"/>
    </row>
    <row r="329" spans="1:4">
      <c r="A329" s="412"/>
      <c r="B329" s="412"/>
      <c r="C329" s="412" t="str">
        <f>IF(WINDOWS!$C69="","","Construction")</f>
        <v/>
      </c>
      <c r="D329" s="412" t="str">
        <f>IF(WINDOWS!$C69="","",IF(WINDOWS!$D69="","! User defined window construction from spreadheet WINDOWS,","! Based on E+ dataset "&amp;WINDOWS!$E69&amp;". "))</f>
        <v/>
      </c>
    </row>
    <row r="330" spans="1:4">
      <c r="A330" s="412"/>
      <c r="B330" s="412"/>
      <c r="C330" s="412" t="str">
        <f>IF(WINDOWS!$C69="","","    Window Cons. "&amp;WINDOWS!$B69&amp;",")</f>
        <v/>
      </c>
      <c r="D330" s="412" t="str">
        <f>IF(WINDOWS!$C69="","","! for Project Cons. Name: "&amp;WINDOWS!$C69)</f>
        <v/>
      </c>
    </row>
    <row r="331" spans="1:4">
      <c r="A331" s="412"/>
      <c r="B331" s="412"/>
      <c r="C331" s="412" t="str">
        <f>IF(WINDOWS!$C69="","",IF(WINDOWS!$L69="","","   "&amp;IF(WINDOWS!$E69="",WINDOWS!$K69,WINDOWS!$J69)&amp;" "&amp;WINDOWS!$L69&amp;IF(WINDOWS!$P69="",";",",")))</f>
        <v/>
      </c>
      <c r="D331" s="412" t="str">
        <f>IF(WINDOWS!$C69="","","! Layer 1")</f>
        <v/>
      </c>
    </row>
    <row r="332" spans="1:4">
      <c r="A332" s="412"/>
      <c r="B332" s="412"/>
      <c r="C332" s="412" t="str">
        <f>IF(WINDOWS!$C69="","",IF(WINDOWS!$P69="","","   "&amp;IF(WINDOWS!$E69="",WINDOWS!$O69,WINDOWS!$N69)&amp;" "&amp;WINDOWS!$P69&amp;IF(WINDOWS!$T69="",";",",")))</f>
        <v/>
      </c>
      <c r="D332" s="412" t="str">
        <f>IF(WINDOWS!$C69="","","! Layer 2")</f>
        <v/>
      </c>
    </row>
    <row r="333" spans="1:4">
      <c r="A333" s="412"/>
      <c r="B333" s="412"/>
      <c r="D333" s="412" t="str">
        <f>IF(WINDOWS!$C69="","","! Layer 3")</f>
        <v/>
      </c>
    </row>
    <row r="334" spans="1:4">
      <c r="A334" s="412"/>
      <c r="B334" s="412"/>
      <c r="C334" s="412" t="str">
        <f>IF(WINDOWS!$C69="","",IF(WINDOWS!$X69="","","   "&amp;IF(WINDOWS!$E69="",WINDOWS!$W69,WINDOWS!$V69)&amp;" "&amp;WINDOWS!$X69&amp;IF(WINDOWS!$AB69="",";",",")))</f>
        <v/>
      </c>
      <c r="D334" s="412" t="str">
        <f>IF(WINDOWS!$C69="","","! Layer 4")</f>
        <v/>
      </c>
    </row>
    <row r="335" spans="1:4">
      <c r="A335" s="412"/>
      <c r="B335" s="412"/>
      <c r="C335" s="412" t="str">
        <f>IF(WINDOWS!$C69="","",IF(WINDOWS!$AB69="","","   "&amp;IF(WINDOWS!$E69="",WINDOWS!$AA69,WINDOWS!$Z69)&amp;" "&amp;WINDOWS!$AB69&amp;IF(WINDOWS!$AF69="",";",",")))</f>
        <v/>
      </c>
      <c r="D335" s="412" t="str">
        <f>IF(WINDOWS!$C69="","","! Layer 5")</f>
        <v/>
      </c>
    </row>
    <row r="336" spans="1:4">
      <c r="A336" s="412"/>
      <c r="B336" s="412"/>
      <c r="C336" s="412" t="str">
        <f>IF(WINDOWS!$C69="","",IF(WINDOWS!$AF69="","","   "&amp;IF(WINDOWS!$E69="",WINDOWS!$AE69,WINDOWS!$AD69)&amp;" "&amp;WINDOWS!$AF69&amp;IF(WINDOWS!$AJ69="",";",",")))</f>
        <v/>
      </c>
      <c r="D336" s="412" t="str">
        <f>IF(WINDOWS!$C69="","","! Layer 6")</f>
        <v/>
      </c>
    </row>
    <row r="337" spans="1:4">
      <c r="A337" s="412"/>
      <c r="B337" s="412"/>
      <c r="C337" s="412" t="str">
        <f>IF(WINDOWS!$C69="","",IF(WINDOWS!$AJ69="","","   "&amp;IF(WINDOWS!$E69="",WINDOWS!$AI69,WINDOWS!$AH69)&amp;" "&amp;WINDOWS!$AJ69&amp;";"))</f>
        <v/>
      </c>
      <c r="D337" s="412" t="str">
        <f>IF(WINDOWS!$C69="","","! Layer 7")</f>
        <v/>
      </c>
    </row>
    <row r="338" spans="1:4">
      <c r="A338" s="412"/>
      <c r="B338" s="412"/>
      <c r="C338" s="412"/>
      <c r="D338" s="412"/>
    </row>
    <row r="339" spans="1:4">
      <c r="A339" s="412"/>
      <c r="B339" s="412"/>
      <c r="C339" s="412" t="str">
        <f>IF(WINDOWS!$C70="","","Construction")</f>
        <v/>
      </c>
      <c r="D339" s="412" t="str">
        <f>IF(WINDOWS!$C70="","",IF(WINDOWS!$D70="","! User defined window construction from spreadheet WINDOWS,","! Based on E+ dataset "&amp;WINDOWS!$E70&amp;". "))</f>
        <v/>
      </c>
    </row>
    <row r="340" spans="1:4">
      <c r="A340" s="412"/>
      <c r="B340" s="412"/>
      <c r="C340" s="412" t="str">
        <f>IF(WINDOWS!$C70="","","    Window Cons. "&amp;WINDOWS!$B70&amp;",")</f>
        <v/>
      </c>
      <c r="D340" s="412" t="str">
        <f>IF(WINDOWS!$C70="","","! for Project Cons. Name: "&amp;WINDOWS!$C70)</f>
        <v/>
      </c>
    </row>
    <row r="341" spans="1:4">
      <c r="A341" s="412"/>
      <c r="B341" s="412"/>
      <c r="C341" s="412" t="str">
        <f>IF(WINDOWS!$C70="","",IF(WINDOWS!$L70="","","   "&amp;IF(WINDOWS!$E70="",WINDOWS!$K70,WINDOWS!$J70)&amp;" "&amp;WINDOWS!$L70&amp;IF(WINDOWS!$P70="",";",",")))</f>
        <v/>
      </c>
      <c r="D341" s="412" t="str">
        <f>IF(WINDOWS!$C70="","","! Layer 1")</f>
        <v/>
      </c>
    </row>
    <row r="342" spans="1:4">
      <c r="A342" s="412"/>
      <c r="B342" s="412"/>
      <c r="C342" s="412" t="str">
        <f>IF(WINDOWS!$C70="","",IF(WINDOWS!$P70="","","   "&amp;IF(WINDOWS!$E70="",WINDOWS!$O70,WINDOWS!$N70)&amp;" "&amp;WINDOWS!$P70&amp;IF(WINDOWS!$T70="",";",",")))</f>
        <v/>
      </c>
      <c r="D342" s="412" t="str">
        <f>IF(WINDOWS!$C70="","","! Layer 2")</f>
        <v/>
      </c>
    </row>
    <row r="343" spans="1:4">
      <c r="A343" s="412"/>
      <c r="B343" s="412"/>
      <c r="C343" s="412" t="str">
        <f>IF(WINDOWS!$C70="","",IF(WINDOWS!$T70="","","   "&amp;IF(WINDOWS!$E70="",WINDOWS!$S70,WINDOWS!$R70)&amp;" "&amp;WINDOWS!$T70&amp;IF(WINDOWS!$X70="",";",",")))</f>
        <v/>
      </c>
      <c r="D343" s="412" t="str">
        <f>IF(WINDOWS!$C70="","","! Layer 3")</f>
        <v/>
      </c>
    </row>
    <row r="344" spans="1:4">
      <c r="A344" s="412"/>
      <c r="B344" s="412"/>
      <c r="C344" s="412" t="str">
        <f>IF(WINDOWS!$C70="","",IF(WINDOWS!$X70="","","   "&amp;IF(WINDOWS!$E70="",WINDOWS!$W70,WINDOWS!$V70)&amp;" "&amp;WINDOWS!$X70&amp;IF(WINDOWS!$AB70="",";",",")))</f>
        <v/>
      </c>
      <c r="D344" s="412" t="str">
        <f>IF(WINDOWS!$C70="","","! Layer 4")</f>
        <v/>
      </c>
    </row>
    <row r="345" spans="1:4">
      <c r="A345" s="412"/>
      <c r="B345" s="412"/>
      <c r="C345" s="412" t="str">
        <f>IF(WINDOWS!$C70="","",IF(WINDOWS!$AB70="","","   "&amp;IF(WINDOWS!$E70="",WINDOWS!$AA70,WINDOWS!$Z70)&amp;" "&amp;WINDOWS!$AB70&amp;IF(WINDOWS!$AF70="",";",",")))</f>
        <v/>
      </c>
      <c r="D345" s="412" t="str">
        <f>IF(WINDOWS!$C70="","","! Layer 5")</f>
        <v/>
      </c>
    </row>
    <row r="346" spans="1:4">
      <c r="A346" s="412"/>
      <c r="B346" s="412"/>
      <c r="C346" s="412" t="str">
        <f>IF(WINDOWS!$C70="","",IF(WINDOWS!$AF70="","","   "&amp;IF(WINDOWS!$E70="",WINDOWS!$AE70,WINDOWS!$AD70)&amp;" "&amp;WINDOWS!$AF70&amp;IF(WINDOWS!$AJ70="",";",",")))</f>
        <v/>
      </c>
      <c r="D346" s="412" t="str">
        <f>IF(WINDOWS!$C70="","","! Layer 6")</f>
        <v/>
      </c>
    </row>
    <row r="347" spans="1:4">
      <c r="A347" s="412"/>
      <c r="B347" s="412"/>
      <c r="C347" s="412" t="str">
        <f>IF(WINDOWS!$C70="","",IF(WINDOWS!$AJ70="","","   "&amp;IF(WINDOWS!$E70="",WINDOWS!$AI70,WINDOWS!$AH70)&amp;" "&amp;WINDOWS!$AJ70&amp;";"))</f>
        <v/>
      </c>
      <c r="D347" s="412" t="str">
        <f>IF(WINDOWS!$C70="","","! Layer 7")</f>
        <v/>
      </c>
    </row>
    <row r="348" spans="1:4">
      <c r="A348" s="412"/>
      <c r="B348" s="412"/>
      <c r="C348" s="412"/>
      <c r="D348" s="412"/>
    </row>
    <row r="349" spans="1:4">
      <c r="A349" s="412"/>
      <c r="B349" s="412"/>
      <c r="C349" s="412" t="str">
        <f>IF(WINDOWS!$C71="","","Construction")</f>
        <v/>
      </c>
      <c r="D349" s="412" t="str">
        <f>IF(WINDOWS!$C71="","",IF(WINDOWS!$D71="","! User defined window construction from spreadheet WINDOWS,","! Based on E+ dataset "&amp;WINDOWS!$E71&amp;". "))</f>
        <v/>
      </c>
    </row>
    <row r="350" spans="1:4">
      <c r="A350" s="412"/>
      <c r="B350" s="412"/>
      <c r="C350" s="412" t="str">
        <f>IF(WINDOWS!$C71="","","    Window Cons. "&amp;WINDOWS!$B71&amp;",")</f>
        <v/>
      </c>
      <c r="D350" s="412" t="str">
        <f>IF(WINDOWS!$C71="","","! for Project Cons. Name: "&amp;WINDOWS!$C71)</f>
        <v/>
      </c>
    </row>
    <row r="351" spans="1:4">
      <c r="A351" s="412"/>
      <c r="B351" s="412"/>
      <c r="C351" s="412" t="str">
        <f>IF(WINDOWS!$C71="","",IF(WINDOWS!$L71="","","   "&amp;IF(WINDOWS!$E71="",WINDOWS!$K71,WINDOWS!$J71)&amp;" "&amp;WINDOWS!$L71&amp;IF(WINDOWS!$P71="",";",",")))</f>
        <v/>
      </c>
      <c r="D351" s="412" t="str">
        <f>IF(WINDOWS!$C71="","","! Layer 1")</f>
        <v/>
      </c>
    </row>
    <row r="352" spans="1:4">
      <c r="A352" s="412"/>
      <c r="B352" s="412"/>
      <c r="C352" s="412" t="str">
        <f>IF(WINDOWS!$C71="","",IF(WINDOWS!$P71="","","   "&amp;IF(WINDOWS!$E71="",WINDOWS!$O71,WINDOWS!$N71)&amp;" "&amp;WINDOWS!$P71&amp;IF(WINDOWS!$T71="",";",",")))</f>
        <v/>
      </c>
      <c r="D352" s="412" t="str">
        <f>IF(WINDOWS!$C71="","","! Layer 2")</f>
        <v/>
      </c>
    </row>
    <row r="353" spans="1:4">
      <c r="A353" s="412"/>
      <c r="B353" s="412"/>
      <c r="C353" s="412" t="str">
        <f>IF(WINDOWS!$C71="","",IF(WINDOWS!$T71="","","   "&amp;IF(WINDOWS!$E71="",WINDOWS!$S71,WINDOWS!$R71)&amp;" "&amp;WINDOWS!$T71&amp;IF(WINDOWS!$X71="",";",",")))</f>
        <v/>
      </c>
      <c r="D353" s="412" t="str">
        <f>IF(WINDOWS!$C71="","","! Layer 3")</f>
        <v/>
      </c>
    </row>
    <row r="354" spans="1:4">
      <c r="A354" s="412"/>
      <c r="B354" s="412"/>
      <c r="C354" s="412" t="str">
        <f>IF(WINDOWS!$C71="","",IF(WINDOWS!$X71="","","   "&amp;IF(WINDOWS!$E71="",WINDOWS!$W71,WINDOWS!$V71)&amp;" "&amp;WINDOWS!$X71&amp;IF(WINDOWS!$AB71="",";",",")))</f>
        <v/>
      </c>
      <c r="D354" s="412" t="str">
        <f>IF(WINDOWS!$C71="","","! Layer 4")</f>
        <v/>
      </c>
    </row>
    <row r="355" spans="1:4">
      <c r="A355" s="412"/>
      <c r="B355" s="412"/>
      <c r="C355" s="412" t="str">
        <f>IF(WINDOWS!$C71="","",IF(WINDOWS!$AB71="","","   "&amp;IF(WINDOWS!$E71="",WINDOWS!$AA71,WINDOWS!$Z71)&amp;" "&amp;WINDOWS!$AB71&amp;IF(WINDOWS!$AF71="",";",",")))</f>
        <v/>
      </c>
      <c r="D355" s="412" t="str">
        <f>IF(WINDOWS!$C71="","","! Layer 5")</f>
        <v/>
      </c>
    </row>
    <row r="356" spans="1:4">
      <c r="A356" s="412"/>
      <c r="B356" s="412"/>
      <c r="C356" s="412" t="str">
        <f>IF(WINDOWS!$C71="","",IF(WINDOWS!$AF71="","","   "&amp;IF(WINDOWS!$E71="",WINDOWS!$AE71,WINDOWS!$AD71)&amp;" "&amp;WINDOWS!$AF71&amp;IF(WINDOWS!$AJ71="",";",",")))</f>
        <v/>
      </c>
      <c r="D356" s="412" t="str">
        <f>IF(WINDOWS!$C71="","","! Layer 6")</f>
        <v/>
      </c>
    </row>
    <row r="357" spans="1:4">
      <c r="A357" s="412"/>
      <c r="B357" s="412"/>
      <c r="C357" s="412" t="str">
        <f>IF(WINDOWS!$C71="","",IF(WINDOWS!$AJ71="","","   "&amp;IF(WINDOWS!$E71="",WINDOWS!$AI71,WINDOWS!$AH71)&amp;" "&amp;WINDOWS!$AJ71&amp;";"))</f>
        <v/>
      </c>
      <c r="D357" s="412" t="str">
        <f>IF(WINDOWS!$C71="","","! Layer 7")</f>
        <v/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5"/>
  <sheetViews>
    <sheetView zoomScaleNormal="100" zoomScalePageLayoutView="60" workbookViewId="0"/>
  </sheetViews>
  <sheetFormatPr defaultRowHeight="14.25"/>
  <cols>
    <col min="1" max="1" width="47.875" style="1"/>
    <col min="2" max="2" width="72.25" style="1"/>
    <col min="3" max="3" width="44.875" style="1"/>
    <col min="4" max="4" width="18.75" style="1"/>
    <col min="5" max="5" width="22.75" style="1"/>
    <col min="6" max="1025" width="12" style="1"/>
  </cols>
  <sheetData>
    <row r="1" spans="1:12">
      <c r="A1" s="412"/>
      <c r="B1" s="412"/>
    </row>
    <row r="2" spans="1:12">
      <c r="A2" s="412" t="s">
        <v>1145</v>
      </c>
      <c r="B2" s="415" t="s">
        <v>1148</v>
      </c>
    </row>
    <row r="3" spans="1:12">
      <c r="A3" s="412" t="s">
        <v>1149</v>
      </c>
      <c r="B3" s="415"/>
    </row>
    <row r="4" spans="1:12">
      <c r="A4" s="412"/>
      <c r="B4" s="412"/>
    </row>
    <row r="5" spans="1:12">
      <c r="A5" s="412"/>
      <c r="B5" s="412"/>
    </row>
    <row r="6" spans="1:12">
      <c r="A6" s="412"/>
      <c r="B6" s="412"/>
    </row>
    <row r="7" spans="1:12">
      <c r="A7" s="412" t="str">
        <f>IF('WIN LAYERS'!$C7="","",IF(OR('WIN LAYERS'!$E7="Simple",'WIN LAYERS'!$E7="Air"),"WindowMaterial:SimpleGlazingSystem,","WindowMaterial:Glazing,"))</f>
        <v>WindowMaterial:Glazing,</v>
      </c>
      <c r="B7" s="412" t="str">
        <f>IF('WIN LAYERS'!$C7="","","! User defined glazing material from GLAZING MATERIALS")</f>
        <v>! User defined glazing material from GLAZING MATERIALS</v>
      </c>
    </row>
    <row r="8" spans="1:12">
      <c r="A8" s="412" t="str">
        <f>IF('WIN LAYERS'!$C7="","","    Window Material "&amp;'WIN LAYERS'!$B7&amp;",")</f>
        <v xml:space="preserve">    Window Material 1,</v>
      </c>
      <c r="B8" s="412" t="str">
        <f>IF('WIN LAYERS'!$C7="","","!   spreadsheet under #/ID: "&amp;'WIN LAYERS'!$B7&amp;" and Name: "&amp;'WIN LAYERS'!$C7&amp;".")</f>
        <v>!   spreadsheet under #/ID: 1 and Name: AIR 3MM.</v>
      </c>
    </row>
    <row r="9" spans="1:12">
      <c r="A9" s="412" t="str">
        <f>IF('WIN LAYERS'!$C7="","",IF('WIN LAYERS'!$E7="Simple","    "&amp;'WIN LAYERS'!$F7&amp;",",IF('WIN LAYERS'!$I7="","    SpectralAverage","    Spectral")))</f>
        <v xml:space="preserve">    SpectralAverage</v>
      </c>
      <c r="B9" s="412" t="str">
        <f>IF('WIN LAYERS'!$C7="","",IF('WIN LAYERS'!$E7="Simple","! U-value.","! Calculation Type - Average or Spectral Data Set."))</f>
        <v>! Calculation Type - Average or Spectral Data Set.</v>
      </c>
    </row>
    <row r="10" spans="1:12">
      <c r="A10" s="412" t="str">
        <f>IF('WIN LAYERS'!$C7="","",IF('WIN LAYERS'!$E7="Simple","    "&amp;'WIN LAYERS'!$G7&amp;",",IF($A9="SpectralAverage,","     "&amp;'WIN LAYERS'!$I7&amp;",","    "&amp;'WIN LAYERS'!$I7&amp;" ,")))</f>
        <v xml:space="preserve">     ,</v>
      </c>
      <c r="B10" s="412" t="str">
        <f>IF('WIN LAYERS'!$C7="","",IF('WIN LAYERS'!$E7="Simple","! SHGC.","! DataSet Name if Calc Type is Sprectral"))</f>
        <v>! DataSet Name if Calc Type is Sprectral</v>
      </c>
    </row>
    <row r="11" spans="1:12">
      <c r="A11" s="412" t="str">
        <f>IF('WIN LAYERS'!$C7="","",IF('WIN LAYERS'!$E7="Simple","    "&amp;'WIN LAYERS'!$H7&amp;";","    "&amp;'WIN LAYERS'!$J7/1000&amp;","))</f>
        <v xml:space="preserve">    0.0032,</v>
      </c>
      <c r="B11" s="412" t="str">
        <f>IF('WIN LAYERS'!$C7="","",IF('WIN LAYERS'!$E7="Simple","! Visible Transmittance","! Thickness"))</f>
        <v>! Thickness</v>
      </c>
    </row>
    <row r="12" spans="1:12">
      <c r="A12" s="412" t="str">
        <f>IF('WIN LAYERS'!$C7="","",IF('WIN LAYERS'!$E7="Simple","","    "&amp;'WIN LAYERS'!$K7&amp;","))</f>
        <v xml:space="preserve">    ,</v>
      </c>
      <c r="B12" s="412" t="str">
        <f>IF(OR('WIN LAYERS'!$C7="",'WIN LAYERS'!$E7="Simple"),"","! Solar Transmittance at Normal Incidence")</f>
        <v>! Solar Transmittance at Normal Incidence</v>
      </c>
    </row>
    <row r="13" spans="1:12">
      <c r="A13" s="412" t="str">
        <f>IF(OR('WIN LAYERS'!$C7="",'WIN LAYERS'!$E7="Simple"),"","    "&amp;'WIN LAYERS'!$L7&amp;",")</f>
        <v xml:space="preserve">    ,</v>
      </c>
      <c r="B13" s="412" t="str">
        <f>IF(OR('WIN LAYERS'!$C7="",'WIN LAYERS'!$E7="Simple"),"","! Front Side Solar Reflectance at Normal Incidence")</f>
        <v>! Front Side Solar Reflectance at Normal Incidence</v>
      </c>
    </row>
    <row r="14" spans="1:12">
      <c r="A14" s="412" t="str">
        <f>IF(OR('WIN LAYERS'!$C7="",'WIN LAYERS'!$E7="Simple"),"","    "&amp;'WIN LAYERS'!$M7&amp;",")</f>
        <v xml:space="preserve">    ,</v>
      </c>
      <c r="B14" s="412" t="str">
        <f>IF(OR('WIN LAYERS'!$C7="",'WIN LAYERS'!$E7="Simple"),"","! Back Side Solar Reflectance at Normal Incidence")</f>
        <v>! Back Side Solar Reflectance at Normal Incidence</v>
      </c>
    </row>
    <row r="15" spans="1:12">
      <c r="A15" s="412" t="str">
        <f>IF(OR('WIN LAYERS'!$C7="",'WIN LAYERS'!$E7="Simple"),"","    "&amp;'WIN LAYERS'!$N7&amp;",")</f>
        <v xml:space="preserve">    ,</v>
      </c>
      <c r="B15" s="412" t="str">
        <f>IF(OR('WIN LAYERS'!$C7="",'WIN LAYERS'!$E7="Simple"),"","! Visible Transmittance at Normal Incidence")</f>
        <v>! Visible Transmittance at Normal Incidence</v>
      </c>
      <c r="L15" s="412"/>
    </row>
    <row r="16" spans="1:12">
      <c r="A16" s="412" t="str">
        <f>IF(OR('WIN LAYERS'!$C7="",'WIN LAYERS'!$E7="Simple"),"","    "&amp;'WIN LAYERS'!$O7&amp;",")</f>
        <v xml:space="preserve">    ,</v>
      </c>
      <c r="B16" s="412" t="str">
        <f>IF(OR('WIN LAYERS'!$C7="",'WIN LAYERS'!$E7="Simple"),"","! Front Side Visible Reflectance at Normal Incidence")</f>
        <v>! Front Side Visible Reflectance at Normal Incidence</v>
      </c>
    </row>
    <row r="17" spans="1:2">
      <c r="A17" s="412" t="str">
        <f>IF(OR('WIN LAYERS'!$C7="",'WIN LAYERS'!$E7="Simple"),"","    "&amp;'WIN LAYERS'!$P7&amp;",")</f>
        <v xml:space="preserve">    ,</v>
      </c>
      <c r="B17" s="412" t="str">
        <f>IF(OR('WIN LAYERS'!$C7="",'WIN LAYERS'!$E7="Simple"),"","! Back Side Visible Reflectance at Normal Incidence")</f>
        <v>! Back Side Visible Reflectance at Normal Incidence</v>
      </c>
    </row>
    <row r="18" spans="1:2">
      <c r="A18" s="412" t="str">
        <f>IF(OR('WIN LAYERS'!$C7="",'WIN LAYERS'!$E7="Simple"),"","    "&amp;'WIN LAYERS'!$Q7&amp;",")</f>
        <v xml:space="preserve">    ,</v>
      </c>
      <c r="B18" s="412" t="str">
        <f>IF(OR('WIN LAYERS'!$C7="",'WIN LAYERS'!$E7="Simple"),"","! Infrared Transmittance at Normal Incidence")</f>
        <v>! Infrared Transmittance at Normal Incidence</v>
      </c>
    </row>
    <row r="19" spans="1:2">
      <c r="A19" s="412" t="str">
        <f>IF(OR('WIN LAYERS'!$C7="",'WIN LAYERS'!$E7="Simple"),"","    "&amp;'WIN LAYERS'!$R7&amp;",")</f>
        <v xml:space="preserve">    ,</v>
      </c>
      <c r="B19" s="412" t="str">
        <f>IF(OR('WIN LAYERS'!$C7="",'WIN LAYERS'!$E7="Simple"),"","! Front Side Infrared Hemispherical Emissivity")</f>
        <v>! Front Side Infrared Hemispherical Emissivity</v>
      </c>
    </row>
    <row r="20" spans="1:2">
      <c r="A20" s="412" t="str">
        <f>IF(OR('WIN LAYERS'!$C7="",'WIN LAYERS'!$E7="Simple"),"","    "&amp;'WIN LAYERS'!$S7&amp;",")</f>
        <v xml:space="preserve">    ,</v>
      </c>
      <c r="B20" s="412" t="str">
        <f>IF(OR('WIN LAYERS'!$C7="",'WIN LAYERS'!$E7="Simple"),"","! Back Side Infrared Hemispherical Emissivity")</f>
        <v>! Back Side Infrared Hemispherical Emissivity</v>
      </c>
    </row>
    <row r="21" spans="1:2">
      <c r="A21" s="412" t="str">
        <f>IF(OR('WIN LAYERS'!$C7="",'WIN LAYERS'!$E7="Simple"),"","    "&amp;'WIN LAYERS'!$T7&amp;",")</f>
        <v xml:space="preserve">    ,</v>
      </c>
      <c r="B21" s="412" t="str">
        <f>IF(OR('WIN LAYERS'!$C7="",'WIN LAYERS'!$E7="Simple"),"","! Conductivity")</f>
        <v>! Conductivity</v>
      </c>
    </row>
    <row r="22" spans="1:2">
      <c r="A22" s="416" t="str">
        <f>IF(OR('WIN LAYERS'!$C7="",'WIN LAYERS'!$E7="Simple"),"","    "&amp;'WIN LAYERS'!$U7&amp;",")</f>
        <v xml:space="preserve">    ,</v>
      </c>
      <c r="B22" s="412" t="str">
        <f>IF(OR('WIN LAYERS'!$C7="",'WIN LAYERS'!$E7="Simple"),"","! Dirt Correction Factor for Solar and Visible Transmittance")</f>
        <v>! Dirt Correction Factor for Solar and Visible Transmittance</v>
      </c>
    </row>
    <row r="23" spans="1:2">
      <c r="A23" s="412" t="str">
        <f>IF(OR('WIN LAYERS'!$C7="",'WIN LAYERS'!$E7="Simple"),"","    "&amp;'WIN LAYERS'!$V7&amp;";")</f>
        <v xml:space="preserve">    ;</v>
      </c>
      <c r="B23" s="412" t="str">
        <f>IF(OR('WIN LAYERS'!$C7="",'WIN LAYERS'!$E7="Simple"),"","! Solar Diffusing? Translucent?")</f>
        <v>! Solar Diffusing? Translucent?</v>
      </c>
    </row>
    <row r="24" spans="1:2">
      <c r="A24" s="412"/>
      <c r="B24" s="412"/>
    </row>
    <row r="25" spans="1:2">
      <c r="A25" s="412" t="str">
        <f>IF('WIN LAYERS'!$C8="","",IF(OR('WIN LAYERS'!$E8="Simple",'WIN LAYERS'!$E8="Air"),"WindowMaterial:SimpleGlazingSystem,","WindowMaterial:Glazing,"))</f>
        <v>WindowMaterial:Glazing,</v>
      </c>
      <c r="B25" s="412" t="str">
        <f>IF('WIN LAYERS'!$C8="","","! User defined glazing material from GLAZING MATERIALS")</f>
        <v>! User defined glazing material from GLAZING MATERIALS</v>
      </c>
    </row>
    <row r="26" spans="1:2">
      <c r="A26" s="412" t="str">
        <f>IF('WIN LAYERS'!$C8="","","    Window Material "&amp;'WIN LAYERS'!$B8&amp;",")</f>
        <v xml:space="preserve">    Window Material 2,</v>
      </c>
      <c r="B26" s="412" t="str">
        <f>IF('WIN LAYERS'!$C8="","","!   spreadsheet under #/ID: "&amp;'WIN LAYERS'!$B8&amp;" and Name: "&amp;'WIN LAYERS'!$C8&amp;".")</f>
        <v>!   spreadsheet under #/ID: 2 and Name: AIR 6MM.</v>
      </c>
    </row>
    <row r="27" spans="1:2">
      <c r="A27" s="412" t="str">
        <f>IF('WIN LAYERS'!$C8="","",IF('WIN LAYERS'!$E8="Simple","    "&amp;'WIN LAYERS'!$F8&amp;",",IF('WIN LAYERS'!$I8="","    SpectralAverage","    Spectral")))</f>
        <v xml:space="preserve">    SpectralAverage</v>
      </c>
      <c r="B27" s="412" t="str">
        <f>IF('WIN LAYERS'!$C8="","",IF('WIN LAYERS'!$E8="Simple","! U-value.","! Calculation Type - Average or Spectral Data Set."))</f>
        <v>! Calculation Type - Average or Spectral Data Set.</v>
      </c>
    </row>
    <row r="28" spans="1:2">
      <c r="A28" s="412" t="str">
        <f>IF('WIN LAYERS'!$C8="","",IF('WIN LAYERS'!$E8="Simple","    "&amp;'WIN LAYERS'!$G8&amp;",",IF($A10="SpectralAverage,","     "&amp;'WIN LAYERS'!$I8&amp;",","    "&amp;'WIN LAYERS'!$I8&amp;" ,")))</f>
        <v xml:space="preserve">     ,</v>
      </c>
      <c r="B28" s="412" t="str">
        <f>IF('WIN LAYERS'!$C8="","",IF('WIN LAYERS'!$E8="Simple","! SHGC.","! DataSet Name if Calc Type is Sprectral"))</f>
        <v>! DataSet Name if Calc Type is Sprectral</v>
      </c>
    </row>
    <row r="29" spans="1:2">
      <c r="A29" s="412" t="str">
        <f>IF('WIN LAYERS'!$C8="","",IF('WIN LAYERS'!$E8="Simple","    "&amp;'WIN LAYERS'!$H8&amp;";","    "&amp;'WIN LAYERS'!$J8/1000&amp;","))</f>
        <v xml:space="preserve">    0.0063,</v>
      </c>
      <c r="B29" s="412" t="str">
        <f>IF('WIN LAYERS'!$C8="","",IF('WIN LAYERS'!$E8="Simple","! Visible Transmittance","! Thickness"))</f>
        <v>! Thickness</v>
      </c>
    </row>
    <row r="30" spans="1:2">
      <c r="A30" s="412" t="str">
        <f>IF('WIN LAYERS'!$C8="","",IF('WIN LAYERS'!$E8="Simple","","    "&amp;'WIN LAYERS'!$K8&amp;","))</f>
        <v xml:space="preserve">    ,</v>
      </c>
      <c r="B30" s="412" t="str">
        <f>IF(OR('WIN LAYERS'!$C8="",'WIN LAYERS'!$E8="Simple"),"","! Solar Transmittance at Normal Incidence")</f>
        <v>! Solar Transmittance at Normal Incidence</v>
      </c>
    </row>
    <row r="31" spans="1:2">
      <c r="A31" s="412" t="str">
        <f>IF(OR('WIN LAYERS'!$C8="",'WIN LAYERS'!$E8="Simple"),"","    "&amp;'WIN LAYERS'!$L8&amp;",")</f>
        <v xml:space="preserve">    ,</v>
      </c>
      <c r="B31" s="412" t="str">
        <f>IF(OR('WIN LAYERS'!$C8="",'WIN LAYERS'!$E8="Simple"),"","! Front Side Solar Reflectance at Normal Incidence")</f>
        <v>! Front Side Solar Reflectance at Normal Incidence</v>
      </c>
    </row>
    <row r="32" spans="1:2">
      <c r="A32" s="412" t="str">
        <f>IF(OR('WIN LAYERS'!$C8="",'WIN LAYERS'!$E8="Simple"),"","    "&amp;'WIN LAYERS'!$M8&amp;",")</f>
        <v xml:space="preserve">    ,</v>
      </c>
      <c r="B32" s="412" t="str">
        <f>IF(OR('WIN LAYERS'!$C8="",'WIN LAYERS'!$E8="Simple"),"","! Back Side Solar Reflectance at Normal Incidence")</f>
        <v>! Back Side Solar Reflectance at Normal Incidence</v>
      </c>
    </row>
    <row r="33" spans="1:2">
      <c r="A33" s="412" t="str">
        <f>IF(OR('WIN LAYERS'!$C8="",'WIN LAYERS'!$E8="Simple"),"","    "&amp;'WIN LAYERS'!$N8&amp;",")</f>
        <v xml:space="preserve">    ,</v>
      </c>
      <c r="B33" s="412" t="str">
        <f>IF(OR('WIN LAYERS'!$C8="",'WIN LAYERS'!$E8="Simple"),"","! Visible Transmittance at Normal Incidence")</f>
        <v>! Visible Transmittance at Normal Incidence</v>
      </c>
    </row>
    <row r="34" spans="1:2">
      <c r="A34" s="412" t="str">
        <f>IF(OR('WIN LAYERS'!$C8="",'WIN LAYERS'!$E8="Simple"),"","    "&amp;'WIN LAYERS'!$O8&amp;",")</f>
        <v xml:space="preserve">    ,</v>
      </c>
      <c r="B34" s="412" t="str">
        <f>IF(OR('WIN LAYERS'!$C8="",'WIN LAYERS'!$E8="Simple"),"","! Front Side Visible Reflectance at Normal Incidence")</f>
        <v>! Front Side Visible Reflectance at Normal Incidence</v>
      </c>
    </row>
    <row r="35" spans="1:2">
      <c r="A35" s="412" t="str">
        <f>IF(OR('WIN LAYERS'!$C8="",'WIN LAYERS'!$E8="Simple"),"","    "&amp;'WIN LAYERS'!$P8&amp;",")</f>
        <v xml:space="preserve">    ,</v>
      </c>
      <c r="B35" s="412" t="str">
        <f>IF(OR('WIN LAYERS'!$C8="",'WIN LAYERS'!$E8="Simple"),"","! Back Side Visible Reflectance at Normal Incidence")</f>
        <v>! Back Side Visible Reflectance at Normal Incidence</v>
      </c>
    </row>
    <row r="36" spans="1:2">
      <c r="A36" s="412" t="str">
        <f>IF(OR('WIN LAYERS'!$C8="",'WIN LAYERS'!$E8="Simple"),"","    "&amp;'WIN LAYERS'!$Q8&amp;",")</f>
        <v xml:space="preserve">    ,</v>
      </c>
      <c r="B36" s="412" t="str">
        <f>IF(OR('WIN LAYERS'!$C8="",'WIN LAYERS'!$E8="Simple"),"","! Infrared Transmittance at Normal Incidence")</f>
        <v>! Infrared Transmittance at Normal Incidence</v>
      </c>
    </row>
    <row r="37" spans="1:2">
      <c r="A37" s="412" t="str">
        <f>IF(OR('WIN LAYERS'!$C8="",'WIN LAYERS'!$E8="Simple"),"","    "&amp;'WIN LAYERS'!$R8&amp;",")</f>
        <v xml:space="preserve">    ,</v>
      </c>
      <c r="B37" s="412" t="str">
        <f>IF(OR('WIN LAYERS'!$C8="",'WIN LAYERS'!$E8="Simple"),"","! Front Side Infrared Hemispherical Emissivity")</f>
        <v>! Front Side Infrared Hemispherical Emissivity</v>
      </c>
    </row>
    <row r="38" spans="1:2">
      <c r="A38" s="412" t="str">
        <f>IF(OR('WIN LAYERS'!$C8="",'WIN LAYERS'!$E8="Simple"),"","    "&amp;'WIN LAYERS'!$S8&amp;",")</f>
        <v xml:space="preserve">    ,</v>
      </c>
      <c r="B38" s="412" t="str">
        <f>IF(OR('WIN LAYERS'!$C8="",'WIN LAYERS'!$E8="Simple"),"","! Back Side Infrared Hemispherical Emissivity")</f>
        <v>! Back Side Infrared Hemispherical Emissivity</v>
      </c>
    </row>
    <row r="39" spans="1:2">
      <c r="A39" s="412" t="str">
        <f>IF(OR('WIN LAYERS'!$C8="",'WIN LAYERS'!$E8="Simple"),"","    "&amp;'WIN LAYERS'!$T8&amp;",")</f>
        <v xml:space="preserve">    ,</v>
      </c>
      <c r="B39" s="412" t="str">
        <f>IF(OR('WIN LAYERS'!$C8="",'WIN LAYERS'!$E8="Simple"),"","! Conductivity")</f>
        <v>! Conductivity</v>
      </c>
    </row>
    <row r="40" spans="1:2">
      <c r="A40" s="416" t="str">
        <f>IF(OR('WIN LAYERS'!$C8="",'WIN LAYERS'!$E8="Simple"),"","    "&amp;'WIN LAYERS'!$U8&amp;",")</f>
        <v xml:space="preserve">    ,</v>
      </c>
      <c r="B40" s="412" t="str">
        <f>IF(OR('WIN LAYERS'!$C8="",'WIN LAYERS'!$E8="Simple"),"","! Dirt Correction Factor for Solar and Visible Transmittance")</f>
        <v>! Dirt Correction Factor for Solar and Visible Transmittance</v>
      </c>
    </row>
    <row r="41" spans="1:2">
      <c r="A41" s="412" t="str">
        <f>IF(OR('WIN LAYERS'!$C8="",'WIN LAYERS'!$E8="Simple"),"","    "&amp;'WIN LAYERS'!$V8&amp;";")</f>
        <v xml:space="preserve">    ;</v>
      </c>
      <c r="B41" s="412" t="str">
        <f>IF(OR('WIN LAYERS'!$C8="",'WIN LAYERS'!$E8="Simple"),"","! Solar Diffusing? Translucent?")</f>
        <v>! Solar Diffusing? Translucent?</v>
      </c>
    </row>
    <row r="42" spans="1:2">
      <c r="A42" s="412"/>
      <c r="B42" s="412"/>
    </row>
    <row r="43" spans="1:2">
      <c r="A43" s="412" t="str">
        <f>IF('WIN LAYERS'!$C9="","",IF(OR('WIN LAYERS'!$E9="Simple",'WIN LAYERS'!$E9="Air"),"WindowMaterial:SimpleGlazingSystem,","WindowMaterial:Glazing,"))</f>
        <v>WindowMaterial:Glazing,</v>
      </c>
      <c r="B43" s="412" t="str">
        <f>IF('WIN LAYERS'!$C9="","","! User defined glazing material from GLAZING MATERIALS")</f>
        <v>! User defined glazing material from GLAZING MATERIALS</v>
      </c>
    </row>
    <row r="44" spans="1:2">
      <c r="A44" s="412" t="str">
        <f>IF('WIN LAYERS'!$C9="","","    Window Material "&amp;'WIN LAYERS'!$B9&amp;",")</f>
        <v xml:space="preserve">    Window Material 3,</v>
      </c>
      <c r="B44" s="412" t="str">
        <f>IF('WIN LAYERS'!$C9="","","!   spreadsheet under #/ID: "&amp;'WIN LAYERS'!$B9&amp;" and Name: "&amp;'WIN LAYERS'!$C9&amp;".")</f>
        <v>!   spreadsheet under #/ID: 3 and Name: AIR 8MM.</v>
      </c>
    </row>
    <row r="45" spans="1:2">
      <c r="A45" s="412" t="str">
        <f>IF('WIN LAYERS'!$C9="","",IF('WIN LAYERS'!$E9="Simple","    "&amp;'WIN LAYERS'!$F9&amp;",",IF('WIN LAYERS'!$I9="","    SpectralAverage","    Spectral")))</f>
        <v xml:space="preserve">    SpectralAverage</v>
      </c>
      <c r="B45" s="412" t="str">
        <f>IF('WIN LAYERS'!$C9="","",IF('WIN LAYERS'!$E9="Simple","! U-value.","! Calculation Type - Average or Spectral Data Set."))</f>
        <v>! Calculation Type - Average or Spectral Data Set.</v>
      </c>
    </row>
    <row r="46" spans="1:2">
      <c r="A46" s="412" t="str">
        <f>IF('WIN LAYERS'!$C9="","",IF('WIN LAYERS'!$E9="Simple","    "&amp;'WIN LAYERS'!$G9&amp;",",IF($A11="SpectralAverage,","     "&amp;'WIN LAYERS'!$I9&amp;",","    "&amp;'WIN LAYERS'!$I9&amp;" ,")))</f>
        <v xml:space="preserve">     ,</v>
      </c>
      <c r="B46" s="412" t="str">
        <f>IF('WIN LAYERS'!$C9="","",IF('WIN LAYERS'!$E9="Simple","! SHGC.","! DataSet Name if Calc Type is Sprectral"))</f>
        <v>! DataSet Name if Calc Type is Sprectral</v>
      </c>
    </row>
    <row r="47" spans="1:2">
      <c r="A47" s="412" t="str">
        <f>IF('WIN LAYERS'!$C9="","",IF('WIN LAYERS'!$E9="Simple","    "&amp;'WIN LAYERS'!$H9&amp;";","    "&amp;'WIN LAYERS'!$J9/1000&amp;","))</f>
        <v xml:space="preserve">    0.0079,</v>
      </c>
      <c r="B47" s="412" t="str">
        <f>IF('WIN LAYERS'!$C9="","",IF('WIN LAYERS'!$E9="Simple","! Visible Transmittance","! Thickness"))</f>
        <v>! Thickness</v>
      </c>
    </row>
    <row r="48" spans="1:2">
      <c r="A48" s="412" t="str">
        <f>IF('WIN LAYERS'!$C9="","",IF('WIN LAYERS'!$E9="Simple","","    "&amp;'WIN LAYERS'!$K9&amp;","))</f>
        <v xml:space="preserve">    ,</v>
      </c>
      <c r="B48" s="412" t="str">
        <f>IF(OR('WIN LAYERS'!$C9="",'WIN LAYERS'!$E9="Simple"),"","! Solar Transmittance at Normal Incidence")</f>
        <v>! Solar Transmittance at Normal Incidence</v>
      </c>
    </row>
    <row r="49" spans="1:2">
      <c r="A49" s="412" t="str">
        <f>IF(OR('WIN LAYERS'!$C9="",'WIN LAYERS'!$E9="Simple"),"","    "&amp;'WIN LAYERS'!$L9&amp;",")</f>
        <v xml:space="preserve">    ,</v>
      </c>
      <c r="B49" s="412" t="str">
        <f>IF(OR('WIN LAYERS'!$C9="",'WIN LAYERS'!$E9="Simple"),"","! Front Side Solar Reflectance at Normal Incidence")</f>
        <v>! Front Side Solar Reflectance at Normal Incidence</v>
      </c>
    </row>
    <row r="50" spans="1:2">
      <c r="A50" s="412" t="str">
        <f>IF(OR('WIN LAYERS'!$C9="",'WIN LAYERS'!$E9="Simple"),"","    "&amp;'WIN LAYERS'!$M9&amp;",")</f>
        <v xml:space="preserve">    ,</v>
      </c>
      <c r="B50" s="412" t="str">
        <f>IF(OR('WIN LAYERS'!$C9="",'WIN LAYERS'!$E9="Simple"),"","! Back Side Solar Reflectance at Normal Incidence")</f>
        <v>! Back Side Solar Reflectance at Normal Incidence</v>
      </c>
    </row>
    <row r="51" spans="1:2">
      <c r="A51" s="412" t="str">
        <f>IF(OR('WIN LAYERS'!$C9="",'WIN LAYERS'!$E9="Simple"),"","    "&amp;'WIN LAYERS'!$N9&amp;",")</f>
        <v xml:space="preserve">    ,</v>
      </c>
      <c r="B51" s="412" t="str">
        <f>IF(OR('WIN LAYERS'!$C9="",'WIN LAYERS'!$E9="Simple"),"","! Visible Transmittance at Normal Incidence")</f>
        <v>! Visible Transmittance at Normal Incidence</v>
      </c>
    </row>
    <row r="52" spans="1:2">
      <c r="A52" s="412" t="str">
        <f>IF(OR('WIN LAYERS'!$C9="",'WIN LAYERS'!$E9="Simple"),"","    "&amp;'WIN LAYERS'!$O9&amp;",")</f>
        <v xml:space="preserve">    ,</v>
      </c>
      <c r="B52" s="412" t="str">
        <f>IF(OR('WIN LAYERS'!$C9="",'WIN LAYERS'!$E9="Simple"),"","! Front Side Visible Reflectance at Normal Incidence")</f>
        <v>! Front Side Visible Reflectance at Normal Incidence</v>
      </c>
    </row>
    <row r="53" spans="1:2">
      <c r="A53" s="412" t="str">
        <f>IF(OR('WIN LAYERS'!$C9="",'WIN LAYERS'!$E9="Simple"),"","    "&amp;'WIN LAYERS'!$P9&amp;",")</f>
        <v xml:space="preserve">    ,</v>
      </c>
      <c r="B53" s="412" t="str">
        <f>IF(OR('WIN LAYERS'!$C9="",'WIN LAYERS'!$E9="Simple"),"","! Back Side Visible Reflectance at Normal Incidence")</f>
        <v>! Back Side Visible Reflectance at Normal Incidence</v>
      </c>
    </row>
    <row r="54" spans="1:2">
      <c r="A54" s="412" t="str">
        <f>IF(OR('WIN LAYERS'!$C9="",'WIN LAYERS'!$E9="Simple"),"","    "&amp;'WIN LAYERS'!$Q9&amp;",")</f>
        <v xml:space="preserve">    ,</v>
      </c>
      <c r="B54" s="412" t="str">
        <f>IF(OR('WIN LAYERS'!$C9="",'WIN LAYERS'!$E9="Simple"),"","! Infrared Transmittance at Normal Incidence")</f>
        <v>! Infrared Transmittance at Normal Incidence</v>
      </c>
    </row>
    <row r="55" spans="1:2">
      <c r="A55" s="412" t="str">
        <f>IF(OR('WIN LAYERS'!$C9="",'WIN LAYERS'!$E9="Simple"),"","    "&amp;'WIN LAYERS'!$R9&amp;",")</f>
        <v xml:space="preserve">    ,</v>
      </c>
      <c r="B55" s="412" t="str">
        <f>IF(OR('WIN LAYERS'!$C9="",'WIN LAYERS'!$E9="Simple"),"","! Front Side Infrared Hemispherical Emissivity")</f>
        <v>! Front Side Infrared Hemispherical Emissivity</v>
      </c>
    </row>
    <row r="56" spans="1:2">
      <c r="A56" s="412" t="str">
        <f>IF(OR('WIN LAYERS'!$C9="",'WIN LAYERS'!$E9="Simple"),"","    "&amp;'WIN LAYERS'!$S9&amp;",")</f>
        <v xml:space="preserve">    ,</v>
      </c>
      <c r="B56" s="412" t="str">
        <f>IF(OR('WIN LAYERS'!$C9="",'WIN LAYERS'!$E9="Simple"),"","! Back Side Infrared Hemispherical Emissivity")</f>
        <v>! Back Side Infrared Hemispherical Emissivity</v>
      </c>
    </row>
    <row r="57" spans="1:2">
      <c r="A57" s="412" t="str">
        <f>IF(OR('WIN LAYERS'!$C9="",'WIN LAYERS'!$E9="Simple"),"","    "&amp;'WIN LAYERS'!$T9&amp;",")</f>
        <v xml:space="preserve">    ,</v>
      </c>
      <c r="B57" s="412" t="str">
        <f>IF(OR('WIN LAYERS'!$C9="",'WIN LAYERS'!$E9="Simple"),"","! Conductivity")</f>
        <v>! Conductivity</v>
      </c>
    </row>
    <row r="58" spans="1:2">
      <c r="A58" s="416" t="str">
        <f>IF(OR('WIN LAYERS'!$C9="",'WIN LAYERS'!$E9="Simple"),"","    "&amp;'WIN LAYERS'!$U9&amp;",")</f>
        <v xml:space="preserve">    ,</v>
      </c>
      <c r="B58" s="412" t="str">
        <f>IF(OR('WIN LAYERS'!$C9="",'WIN LAYERS'!$E9="Simple"),"","! Dirt Correction Factor for Solar and Visible Transmittance")</f>
        <v>! Dirt Correction Factor for Solar and Visible Transmittance</v>
      </c>
    </row>
    <row r="59" spans="1:2">
      <c r="A59" s="412" t="str">
        <f>IF(OR('WIN LAYERS'!$C9="",'WIN LAYERS'!$E9="Simple"),"","    "&amp;'WIN LAYERS'!$V9&amp;";")</f>
        <v xml:space="preserve">    ;</v>
      </c>
      <c r="B59" s="412" t="str">
        <f>IF(OR('WIN LAYERS'!$C9="",'WIN LAYERS'!$E9="Simple"),"","! Solar Diffusing? Translucent?")</f>
        <v>! Solar Diffusing? Translucent?</v>
      </c>
    </row>
    <row r="60" spans="1:2">
      <c r="A60" s="412"/>
      <c r="B60" s="412"/>
    </row>
    <row r="61" spans="1:2">
      <c r="A61" s="412" t="str">
        <f>IF('WIN LAYERS'!$C10="","",IF(OR('WIN LAYERS'!$E10="Simple",'WIN LAYERS'!$E10="Air"),"WindowMaterial:SimpleGlazingSystem,","WindowMaterial:Glazing,"))</f>
        <v>WindowMaterial:Glazing,</v>
      </c>
      <c r="B61" s="412" t="str">
        <f>IF('WIN LAYERS'!$C10="","","! User defined glazing material from GLAZING MATERIALS")</f>
        <v>! User defined glazing material from GLAZING MATERIALS</v>
      </c>
    </row>
    <row r="62" spans="1:2">
      <c r="A62" s="412" t="str">
        <f>IF('WIN LAYERS'!$C10="","","    Window Material "&amp;'WIN LAYERS'!$B10&amp;",")</f>
        <v xml:space="preserve">    Window Material 4,</v>
      </c>
      <c r="B62" s="412" t="str">
        <f>IF('WIN LAYERS'!$C10="","","!   spreadsheet under #/ID: "&amp;'WIN LAYERS'!$B10&amp;" and Name: "&amp;'WIN LAYERS'!$C10&amp;".")</f>
        <v>!   spreadsheet under #/ID: 4 and Name: AIR 13MM.</v>
      </c>
    </row>
    <row r="63" spans="1:2">
      <c r="A63" s="412" t="str">
        <f>IF('WIN LAYERS'!$C10="","",IF('WIN LAYERS'!$E10="Simple","    "&amp;'WIN LAYERS'!$F10&amp;",",IF('WIN LAYERS'!$I10="","    SpectralAverage","    Spectral")))</f>
        <v xml:space="preserve">    SpectralAverage</v>
      </c>
      <c r="B63" s="412" t="str">
        <f>IF('WIN LAYERS'!$C10="","",IF('WIN LAYERS'!$E10="Simple","! U-value.","! Calculation Type - Average or Spectral Data Set."))</f>
        <v>! Calculation Type - Average or Spectral Data Set.</v>
      </c>
    </row>
    <row r="64" spans="1:2">
      <c r="A64" s="412" t="str">
        <f>IF('WIN LAYERS'!$C10="","",IF('WIN LAYERS'!$E10="Simple","    "&amp;'WIN LAYERS'!$G10&amp;",",IF($A12="SpectralAverage,","     "&amp;'WIN LAYERS'!$I10&amp;",","    "&amp;'WIN LAYERS'!$I10&amp;" ,")))</f>
        <v xml:space="preserve">     ,</v>
      </c>
      <c r="B64" s="412" t="str">
        <f>IF('WIN LAYERS'!$C10="","",IF('WIN LAYERS'!$E10="Simple","! SHGC.","! DataSet Name if Calc Type is Sprectral"))</f>
        <v>! DataSet Name if Calc Type is Sprectral</v>
      </c>
    </row>
    <row r="65" spans="1:2">
      <c r="A65" s="412" t="str">
        <f>IF('WIN LAYERS'!$C10="","",IF('WIN LAYERS'!$E10="Simple","    "&amp;'WIN LAYERS'!$H10&amp;";","    "&amp;'WIN LAYERS'!$J10/1000&amp;","))</f>
        <v xml:space="preserve">    0.0127,</v>
      </c>
      <c r="B65" s="412" t="str">
        <f>IF('WIN LAYERS'!$C10="","",IF('WIN LAYERS'!$E10="Simple","! Visible Transmittance","! Thickness"))</f>
        <v>! Thickness</v>
      </c>
    </row>
    <row r="66" spans="1:2">
      <c r="A66" s="412" t="str">
        <f>IF('WIN LAYERS'!$C10="","",IF('WIN LAYERS'!$E10="Simple","","    "&amp;'WIN LAYERS'!$K10&amp;","))</f>
        <v xml:space="preserve">    ,</v>
      </c>
      <c r="B66" s="412" t="str">
        <f>IF(OR('WIN LAYERS'!$C10="",'WIN LAYERS'!$E10="Simple"),"","! Solar Transmittance at Normal Incidence")</f>
        <v>! Solar Transmittance at Normal Incidence</v>
      </c>
    </row>
    <row r="67" spans="1:2">
      <c r="A67" s="412" t="str">
        <f>IF(OR('WIN LAYERS'!$C10="",'WIN LAYERS'!$E10="Simple"),"","    "&amp;'WIN LAYERS'!$L10&amp;",")</f>
        <v xml:space="preserve">    ,</v>
      </c>
      <c r="B67" s="412" t="str">
        <f>IF(OR('WIN LAYERS'!$C10="",'WIN LAYERS'!$E10="Simple"),"","! Front Side Solar Reflectance at Normal Incidence")</f>
        <v>! Front Side Solar Reflectance at Normal Incidence</v>
      </c>
    </row>
    <row r="68" spans="1:2">
      <c r="A68" s="412" t="str">
        <f>IF(OR('WIN LAYERS'!$C10="",'WIN LAYERS'!$E10="Simple"),"","    "&amp;'WIN LAYERS'!$M10&amp;",")</f>
        <v xml:space="preserve">    ,</v>
      </c>
      <c r="B68" s="412" t="str">
        <f>IF(OR('WIN LAYERS'!$C10="",'WIN LAYERS'!$E10="Simple"),"","! Back Side Solar Reflectance at Normal Incidence")</f>
        <v>! Back Side Solar Reflectance at Normal Incidence</v>
      </c>
    </row>
    <row r="69" spans="1:2">
      <c r="A69" s="412" t="str">
        <f>IF(OR('WIN LAYERS'!$C10="",'WIN LAYERS'!$E10="Simple"),"","    "&amp;'WIN LAYERS'!$N10&amp;",")</f>
        <v xml:space="preserve">    ,</v>
      </c>
      <c r="B69" s="412" t="str">
        <f>IF(OR('WIN LAYERS'!$C10="",'WIN LAYERS'!$E10="Simple"),"","! Visible Transmittance at Normal Incidence")</f>
        <v>! Visible Transmittance at Normal Incidence</v>
      </c>
    </row>
    <row r="70" spans="1:2">
      <c r="A70" s="412" t="str">
        <f>IF(OR('WIN LAYERS'!$C10="",'WIN LAYERS'!$E10="Simple"),"","    "&amp;'WIN LAYERS'!$O10&amp;",")</f>
        <v xml:space="preserve">    ,</v>
      </c>
      <c r="B70" s="412" t="str">
        <f>IF(OR('WIN LAYERS'!$C10="",'WIN LAYERS'!$E10="Simple"),"","! Front Side Visible Reflectance at Normal Incidence")</f>
        <v>! Front Side Visible Reflectance at Normal Incidence</v>
      </c>
    </row>
    <row r="71" spans="1:2">
      <c r="A71" s="412" t="str">
        <f>IF(OR('WIN LAYERS'!$C10="",'WIN LAYERS'!$E10="Simple"),"","    "&amp;'WIN LAYERS'!$P10&amp;",")</f>
        <v xml:space="preserve">    ,</v>
      </c>
      <c r="B71" s="412" t="str">
        <f>IF(OR('WIN LAYERS'!$C10="",'WIN LAYERS'!$E10="Simple"),"","! Back Side Visible Reflectance at Normal Incidence")</f>
        <v>! Back Side Visible Reflectance at Normal Incidence</v>
      </c>
    </row>
    <row r="72" spans="1:2">
      <c r="A72" s="412" t="str">
        <f>IF(OR('WIN LAYERS'!$C10="",'WIN LAYERS'!$E10="Simple"),"","    "&amp;'WIN LAYERS'!$Q10&amp;",")</f>
        <v xml:space="preserve">    ,</v>
      </c>
      <c r="B72" s="412" t="str">
        <f>IF(OR('WIN LAYERS'!$C10="",'WIN LAYERS'!$E10="Simple"),"","! Infrared Transmittance at Normal Incidence")</f>
        <v>! Infrared Transmittance at Normal Incidence</v>
      </c>
    </row>
    <row r="73" spans="1:2">
      <c r="A73" s="412" t="str">
        <f>IF(OR('WIN LAYERS'!$C10="",'WIN LAYERS'!$E10="Simple"),"","    "&amp;'WIN LAYERS'!$R10&amp;",")</f>
        <v xml:space="preserve">    ,</v>
      </c>
      <c r="B73" s="412" t="str">
        <f>IF(OR('WIN LAYERS'!$C10="",'WIN LAYERS'!$E10="Simple"),"","! Front Side Infrared Hemispherical Emissivity")</f>
        <v>! Front Side Infrared Hemispherical Emissivity</v>
      </c>
    </row>
    <row r="74" spans="1:2">
      <c r="A74" s="412" t="str">
        <f>IF(OR('WIN LAYERS'!$C10="",'WIN LAYERS'!$E10="Simple"),"","    "&amp;'WIN LAYERS'!$S10&amp;",")</f>
        <v xml:space="preserve">    ,</v>
      </c>
      <c r="B74" s="412" t="str">
        <f>IF(OR('WIN LAYERS'!$C10="",'WIN LAYERS'!$E10="Simple"),"","! Back Side Infrared Hemispherical Emissivity")</f>
        <v>! Back Side Infrared Hemispherical Emissivity</v>
      </c>
    </row>
    <row r="75" spans="1:2">
      <c r="A75" s="412" t="str">
        <f>IF(OR('WIN LAYERS'!$C10="",'WIN LAYERS'!$E10="Simple"),"","    "&amp;'WIN LAYERS'!$T10&amp;",")</f>
        <v xml:space="preserve">    ,</v>
      </c>
      <c r="B75" s="412" t="str">
        <f>IF(OR('WIN LAYERS'!$C10="",'WIN LAYERS'!$E10="Simple"),"","! Conductivity")</f>
        <v>! Conductivity</v>
      </c>
    </row>
    <row r="76" spans="1:2">
      <c r="A76" s="416" t="str">
        <f>IF(OR('WIN LAYERS'!$C10="",'WIN LAYERS'!$E10="Simple"),"","    "&amp;'WIN LAYERS'!$U10&amp;",")</f>
        <v xml:space="preserve">    ,</v>
      </c>
      <c r="B76" s="412" t="str">
        <f>IF(OR('WIN LAYERS'!$C10="",'WIN LAYERS'!$E10="Simple"),"","! Dirt Correction Factor for Solar and Visible Transmittance")</f>
        <v>! Dirt Correction Factor for Solar and Visible Transmittance</v>
      </c>
    </row>
    <row r="77" spans="1:2">
      <c r="A77" s="412" t="str">
        <f>IF(OR('WIN LAYERS'!$C10="",'WIN LAYERS'!$E10="Simple"),"","    "&amp;'WIN LAYERS'!$V10&amp;";")</f>
        <v xml:space="preserve">    ;</v>
      </c>
      <c r="B77" s="412" t="str">
        <f>IF(OR('WIN LAYERS'!$C10="",'WIN LAYERS'!$E10="Simple"),"","! Solar Diffusing? Translucent?")</f>
        <v>! Solar Diffusing? Translucent?</v>
      </c>
    </row>
    <row r="78" spans="1:2">
      <c r="A78" s="412"/>
      <c r="B78" s="412"/>
    </row>
    <row r="79" spans="1:2">
      <c r="A79" s="412" t="str">
        <f>IF('WIN LAYERS'!$C11="","",IF(OR('WIN LAYERS'!$E11="Simple",'WIN LAYERS'!$E11="Air"),"WindowMaterial:SimpleGlazingSystem,","WindowMaterial:Glazing,"))</f>
        <v>WindowMaterial:Glazing,</v>
      </c>
      <c r="B79" s="412" t="str">
        <f>IF('WIN LAYERS'!$C11="","","! User defined glazing material from GLAZING MATERIALS")</f>
        <v>! User defined glazing material from GLAZING MATERIALS</v>
      </c>
    </row>
    <row r="80" spans="1:2">
      <c r="A80" s="412" t="str">
        <f>IF('WIN LAYERS'!$C11="","","    Window Material "&amp;'WIN LAYERS'!$B11&amp;",")</f>
        <v xml:space="preserve">    Window Material 5,</v>
      </c>
      <c r="B80" s="412" t="str">
        <f>IF('WIN LAYERS'!$C11="","","!   spreadsheet under #/ID: "&amp;'WIN LAYERS'!$B11&amp;" and Name: "&amp;'WIN LAYERS'!$C11&amp;".")</f>
        <v>!   spreadsheet under #/ID: 5 and Name: ARGON 3MM.</v>
      </c>
    </row>
    <row r="81" spans="1:2">
      <c r="A81" s="412" t="str">
        <f>IF('WIN LAYERS'!$C11="","",IF('WIN LAYERS'!$E11="Simple","    "&amp;'WIN LAYERS'!$F11&amp;",",IF('WIN LAYERS'!$I11="","    SpectralAverage","    Spectral")))</f>
        <v xml:space="preserve">    SpectralAverage</v>
      </c>
      <c r="B81" s="412" t="str">
        <f>IF('WIN LAYERS'!$C11="","",IF('WIN LAYERS'!$E11="Simple","! U-value.","! Calculation Type - Average or Spectral Data Set."))</f>
        <v>! Calculation Type - Average or Spectral Data Set.</v>
      </c>
    </row>
    <row r="82" spans="1:2">
      <c r="A82" s="412" t="str">
        <f>IF('WIN LAYERS'!$C11="","",IF('WIN LAYERS'!$E11="Simple","    "&amp;'WIN LAYERS'!$G11&amp;",",IF($A13="SpectralAverage,","     "&amp;'WIN LAYERS'!$I11&amp;",","    "&amp;'WIN LAYERS'!$I11&amp;" ,")))</f>
        <v xml:space="preserve">     ,</v>
      </c>
      <c r="B82" s="412" t="str">
        <f>IF('WIN LAYERS'!$C11="","",IF('WIN LAYERS'!$E11="Simple","! SHGC.","! DataSet Name if Calc Type is Sprectral"))</f>
        <v>! DataSet Name if Calc Type is Sprectral</v>
      </c>
    </row>
    <row r="83" spans="1:2">
      <c r="A83" s="412" t="str">
        <f>IF('WIN LAYERS'!$C11="","",IF('WIN LAYERS'!$E11="Simple","    "&amp;'WIN LAYERS'!$H11&amp;";","    "&amp;'WIN LAYERS'!$J11/1000&amp;","))</f>
        <v xml:space="preserve">    0.0032,</v>
      </c>
      <c r="B83" s="412" t="str">
        <f>IF('WIN LAYERS'!$C11="","",IF('WIN LAYERS'!$E11="Simple","! Visible Transmittance","! Thickness"))</f>
        <v>! Thickness</v>
      </c>
    </row>
    <row r="84" spans="1:2">
      <c r="A84" s="412" t="str">
        <f>IF('WIN LAYERS'!$C11="","",IF('WIN LAYERS'!$E11="Simple","","    "&amp;'WIN LAYERS'!$K11&amp;","))</f>
        <v xml:space="preserve">    ,</v>
      </c>
      <c r="B84" s="412" t="str">
        <f>IF(OR('WIN LAYERS'!$C11="",'WIN LAYERS'!$E11="Simple"),"","! Solar Transmittance at Normal Incidence")</f>
        <v>! Solar Transmittance at Normal Incidence</v>
      </c>
    </row>
    <row r="85" spans="1:2">
      <c r="A85" s="412" t="str">
        <f>IF(OR('WIN LAYERS'!$C11="",'WIN LAYERS'!$E11="Simple"),"","    "&amp;'WIN LAYERS'!$L11&amp;",")</f>
        <v xml:space="preserve">    ,</v>
      </c>
      <c r="B85" s="412" t="str">
        <f>IF(OR('WIN LAYERS'!$C11="",'WIN LAYERS'!$E11="Simple"),"","! Front Side Solar Reflectance at Normal Incidence")</f>
        <v>! Front Side Solar Reflectance at Normal Incidence</v>
      </c>
    </row>
    <row r="86" spans="1:2">
      <c r="A86" s="412" t="str">
        <f>IF(OR('WIN LAYERS'!$C11="",'WIN LAYERS'!$E11="Simple"),"","    "&amp;'WIN LAYERS'!$M11&amp;",")</f>
        <v xml:space="preserve">    ,</v>
      </c>
      <c r="B86" s="412" t="str">
        <f>IF(OR('WIN LAYERS'!$C11="",'WIN LAYERS'!$E11="Simple"),"","! Back Side Solar Reflectance at Normal Incidence")</f>
        <v>! Back Side Solar Reflectance at Normal Incidence</v>
      </c>
    </row>
    <row r="87" spans="1:2">
      <c r="A87" s="412" t="str">
        <f>IF(OR('WIN LAYERS'!$C11="",'WIN LAYERS'!$E11="Simple"),"","    "&amp;'WIN LAYERS'!$N11&amp;",")</f>
        <v xml:space="preserve">    ,</v>
      </c>
      <c r="B87" s="412" t="str">
        <f>IF(OR('WIN LAYERS'!$C11="",'WIN LAYERS'!$E11="Simple"),"","! Visible Transmittance at Normal Incidence")</f>
        <v>! Visible Transmittance at Normal Incidence</v>
      </c>
    </row>
    <row r="88" spans="1:2">
      <c r="A88" s="412" t="str">
        <f>IF(OR('WIN LAYERS'!$C11="",'WIN LAYERS'!$E11="Simple"),"","    "&amp;'WIN LAYERS'!$O11&amp;",")</f>
        <v xml:space="preserve">    ,</v>
      </c>
      <c r="B88" s="412" t="str">
        <f>IF(OR('WIN LAYERS'!$C11="",'WIN LAYERS'!$E11="Simple"),"","! Front Side Visible Reflectance at Normal Incidence")</f>
        <v>! Front Side Visible Reflectance at Normal Incidence</v>
      </c>
    </row>
    <row r="89" spans="1:2">
      <c r="A89" s="412" t="str">
        <f>IF(OR('WIN LAYERS'!$C11="",'WIN LAYERS'!$E11="Simple"),"","    "&amp;'WIN LAYERS'!$P11&amp;",")</f>
        <v xml:space="preserve">    ,</v>
      </c>
      <c r="B89" s="412" t="str">
        <f>IF(OR('WIN LAYERS'!$C11="",'WIN LAYERS'!$E11="Simple"),"","! Back Side Visible Reflectance at Normal Incidence")</f>
        <v>! Back Side Visible Reflectance at Normal Incidence</v>
      </c>
    </row>
    <row r="90" spans="1:2">
      <c r="A90" s="412" t="str">
        <f>IF(OR('WIN LAYERS'!$C11="",'WIN LAYERS'!$E11="Simple"),"","    "&amp;'WIN LAYERS'!$Q11&amp;",")</f>
        <v xml:space="preserve">    ,</v>
      </c>
      <c r="B90" s="412" t="str">
        <f>IF(OR('WIN LAYERS'!$C11="",'WIN LAYERS'!$E11="Simple"),"","! Infrared Transmittance at Normal Incidence")</f>
        <v>! Infrared Transmittance at Normal Incidence</v>
      </c>
    </row>
    <row r="91" spans="1:2">
      <c r="A91" s="412" t="str">
        <f>IF(OR('WIN LAYERS'!$C11="",'WIN LAYERS'!$E11="Simple"),"","    "&amp;'WIN LAYERS'!$R11&amp;",")</f>
        <v xml:space="preserve">    ,</v>
      </c>
      <c r="B91" s="412" t="str">
        <f>IF(OR('WIN LAYERS'!$C11="",'WIN LAYERS'!$E11="Simple"),"","! Front Side Infrared Hemispherical Emissivity")</f>
        <v>! Front Side Infrared Hemispherical Emissivity</v>
      </c>
    </row>
    <row r="92" spans="1:2">
      <c r="A92" s="412" t="str">
        <f>IF(OR('WIN LAYERS'!$C11="",'WIN LAYERS'!$E11="Simple"),"","    "&amp;'WIN LAYERS'!$S11&amp;",")</f>
        <v xml:space="preserve">    ,</v>
      </c>
      <c r="B92" s="412" t="str">
        <f>IF(OR('WIN LAYERS'!$C11="",'WIN LAYERS'!$E11="Simple"),"","! Back Side Infrared Hemispherical Emissivity")</f>
        <v>! Back Side Infrared Hemispherical Emissivity</v>
      </c>
    </row>
    <row r="93" spans="1:2">
      <c r="A93" s="412" t="str">
        <f>IF(OR('WIN LAYERS'!$C11="",'WIN LAYERS'!$E11="Simple"),"","    "&amp;'WIN LAYERS'!$T11&amp;",")</f>
        <v xml:space="preserve">    ,</v>
      </c>
      <c r="B93" s="412" t="str">
        <f>IF(OR('WIN LAYERS'!$C11="",'WIN LAYERS'!$E11="Simple"),"","! Conductivity")</f>
        <v>! Conductivity</v>
      </c>
    </row>
    <row r="94" spans="1:2">
      <c r="A94" s="416" t="str">
        <f>IF(OR('WIN LAYERS'!$C11="",'WIN LAYERS'!$E11="Simple"),"","    "&amp;'WIN LAYERS'!$U11&amp;",")</f>
        <v xml:space="preserve">    ,</v>
      </c>
      <c r="B94" s="412" t="str">
        <f>IF(OR('WIN LAYERS'!$C11="",'WIN LAYERS'!$E11="Simple"),"","! Dirt Correction Factor for Solar and Visible Transmittance")</f>
        <v>! Dirt Correction Factor for Solar and Visible Transmittance</v>
      </c>
    </row>
    <row r="95" spans="1:2">
      <c r="A95" s="412" t="str">
        <f>IF(OR('WIN LAYERS'!$C11="",'WIN LAYERS'!$E11="Simple"),"","    "&amp;'WIN LAYERS'!$V11&amp;";")</f>
        <v xml:space="preserve">    ;</v>
      </c>
      <c r="B95" s="412" t="str">
        <f>IF(OR('WIN LAYERS'!$C11="",'WIN LAYERS'!$E11="Simple"),"","! Solar Diffusing? Translucent?")</f>
        <v>! Solar Diffusing? Translucent?</v>
      </c>
    </row>
    <row r="97" spans="1:2">
      <c r="A97" s="412" t="str">
        <f>IF('WIN LAYERS'!$C12="","",IF(OR('WIN LAYERS'!$E12="Simple",'WIN LAYERS'!$E12="Air"),"WindowMaterial:SimpleGlazingSystem,","WindowMaterial:Glazing,"))</f>
        <v>WindowMaterial:Glazing,</v>
      </c>
      <c r="B97" s="412" t="str">
        <f>IF('WIN LAYERS'!$C12="","","! User defined glazing material from GLAZING MATERIALS")</f>
        <v>! User defined glazing material from GLAZING MATERIALS</v>
      </c>
    </row>
    <row r="98" spans="1:2">
      <c r="A98" s="412" t="str">
        <f>IF('WIN LAYERS'!$C12="","","    Window Material "&amp;'WIN LAYERS'!$B12&amp;",")</f>
        <v xml:space="preserve">    Window Material 6,</v>
      </c>
      <c r="B98" s="412" t="str">
        <f>IF('WIN LAYERS'!$C12="","","!   spreadsheet under #/ID: "&amp;'WIN LAYERS'!$B12&amp;" and Name: "&amp;'WIN LAYERS'!$C12&amp;".")</f>
        <v>!   spreadsheet under #/ID: 6 and Name: ARGON 6MM.</v>
      </c>
    </row>
    <row r="99" spans="1:2">
      <c r="A99" s="412" t="str">
        <f>IF('WIN LAYERS'!$C12="","",IF('WIN LAYERS'!$E12="Simple","    "&amp;'WIN LAYERS'!$F12&amp;",",IF('WIN LAYERS'!$I12="","    SpectralAverage","    Spectral")))</f>
        <v xml:space="preserve">    SpectralAverage</v>
      </c>
      <c r="B99" s="412" t="str">
        <f>IF('WIN LAYERS'!$C12="","",IF('WIN LAYERS'!$E12="Simple","! U-value.","! Calculation Type - Average or Spectral Data Set."))</f>
        <v>! Calculation Type - Average or Spectral Data Set.</v>
      </c>
    </row>
    <row r="100" spans="1:2">
      <c r="A100" s="412" t="str">
        <f>IF('WIN LAYERS'!$C12="","",IF('WIN LAYERS'!$E12="Simple","    "&amp;'WIN LAYERS'!$G12&amp;",",IF($A14="SpectralAverage,","     "&amp;'WIN LAYERS'!$I12&amp;",","    "&amp;'WIN LAYERS'!$I12&amp;" ,")))</f>
        <v xml:space="preserve">     ,</v>
      </c>
      <c r="B100" s="412" t="str">
        <f>IF('WIN LAYERS'!$C12="","",IF('WIN LAYERS'!$E12="Simple","! SHGC.","! DataSet Name if Calc Type is Sprectral"))</f>
        <v>! DataSet Name if Calc Type is Sprectral</v>
      </c>
    </row>
    <row r="101" spans="1:2">
      <c r="A101" s="412" t="str">
        <f>IF('WIN LAYERS'!$C12="","",IF('WIN LAYERS'!$E12="Simple","    "&amp;'WIN LAYERS'!$H12&amp;";","    "&amp;'WIN LAYERS'!$J12/1000&amp;","))</f>
        <v xml:space="preserve">    0.0063,</v>
      </c>
      <c r="B101" s="412" t="str">
        <f>IF('WIN LAYERS'!$C12="","",IF('WIN LAYERS'!$E12="Simple","! Visible Transmittance","! Thickness"))</f>
        <v>! Thickness</v>
      </c>
    </row>
    <row r="102" spans="1:2">
      <c r="A102" s="412" t="str">
        <f>IF('WIN LAYERS'!$C12="","",IF('WIN LAYERS'!$E12="Simple","","    "&amp;'WIN LAYERS'!$K12&amp;","))</f>
        <v xml:space="preserve">    ,</v>
      </c>
      <c r="B102" s="412" t="str">
        <f>IF(OR('WIN LAYERS'!$C12="",'WIN LAYERS'!$E12="Simple"),"","! Solar Transmittance at Normal Incidence")</f>
        <v>! Solar Transmittance at Normal Incidence</v>
      </c>
    </row>
    <row r="103" spans="1:2">
      <c r="A103" s="412" t="str">
        <f>IF(OR('WIN LAYERS'!$C12="",'WIN LAYERS'!$E12="Simple"),"","    "&amp;'WIN LAYERS'!$L12&amp;",")</f>
        <v xml:space="preserve">    ,</v>
      </c>
      <c r="B103" s="412" t="str">
        <f>IF(OR('WIN LAYERS'!$C12="",'WIN LAYERS'!$E12="Simple"),"","! Front Side Solar Reflectance at Normal Incidence")</f>
        <v>! Front Side Solar Reflectance at Normal Incidence</v>
      </c>
    </row>
    <row r="104" spans="1:2">
      <c r="A104" s="412" t="str">
        <f>IF(OR('WIN LAYERS'!$C12="",'WIN LAYERS'!$E12="Simple"),"","    "&amp;'WIN LAYERS'!$M12&amp;",")</f>
        <v xml:space="preserve">    ,</v>
      </c>
      <c r="B104" s="412" t="str">
        <f>IF(OR('WIN LAYERS'!$C12="",'WIN LAYERS'!$E12="Simple"),"","! Back Side Solar Reflectance at Normal Incidence")</f>
        <v>! Back Side Solar Reflectance at Normal Incidence</v>
      </c>
    </row>
    <row r="105" spans="1:2">
      <c r="A105" s="412" t="str">
        <f>IF(OR('WIN LAYERS'!$C12="",'WIN LAYERS'!$E12="Simple"),"","    "&amp;'WIN LAYERS'!$N12&amp;",")</f>
        <v xml:space="preserve">    ,</v>
      </c>
      <c r="B105" s="412" t="str">
        <f>IF(OR('WIN LAYERS'!$C12="",'WIN LAYERS'!$E12="Simple"),"","! Visible Transmittance at Normal Incidence")</f>
        <v>! Visible Transmittance at Normal Incidence</v>
      </c>
    </row>
    <row r="106" spans="1:2">
      <c r="A106" s="412" t="str">
        <f>IF(OR('WIN LAYERS'!$C12="",'WIN LAYERS'!$E12="Simple"),"","    "&amp;'WIN LAYERS'!$O12&amp;",")</f>
        <v xml:space="preserve">    ,</v>
      </c>
      <c r="B106" s="412" t="str">
        <f>IF(OR('WIN LAYERS'!$C12="",'WIN LAYERS'!$E12="Simple"),"","! Front Side Visible Reflectance at Normal Incidence")</f>
        <v>! Front Side Visible Reflectance at Normal Incidence</v>
      </c>
    </row>
    <row r="107" spans="1:2">
      <c r="A107" s="412" t="str">
        <f>IF(OR('WIN LAYERS'!$C12="",'WIN LAYERS'!$E12="Simple"),"","    "&amp;'WIN LAYERS'!$P12&amp;",")</f>
        <v xml:space="preserve">    ,</v>
      </c>
      <c r="B107" s="412" t="str">
        <f>IF(OR('WIN LAYERS'!$C12="",'WIN LAYERS'!$E12="Simple"),"","! Back Side Visible Reflectance at Normal Incidence")</f>
        <v>! Back Side Visible Reflectance at Normal Incidence</v>
      </c>
    </row>
    <row r="108" spans="1:2">
      <c r="A108" s="412" t="str">
        <f>IF(OR('WIN LAYERS'!$C12="",'WIN LAYERS'!$E12="Simple"),"","    "&amp;'WIN LAYERS'!$Q12&amp;",")</f>
        <v xml:space="preserve">    ,</v>
      </c>
      <c r="B108" s="412" t="str">
        <f>IF(OR('WIN LAYERS'!$C12="",'WIN LAYERS'!$E12="Simple"),"","! Infrared Transmittance at Normal Incidence")</f>
        <v>! Infrared Transmittance at Normal Incidence</v>
      </c>
    </row>
    <row r="109" spans="1:2">
      <c r="A109" s="412" t="str">
        <f>IF(OR('WIN LAYERS'!$C12="",'WIN LAYERS'!$E12="Simple"),"","    "&amp;'WIN LAYERS'!$R12&amp;",")</f>
        <v xml:space="preserve">    ,</v>
      </c>
      <c r="B109" s="412" t="str">
        <f>IF(OR('WIN LAYERS'!$C12="",'WIN LAYERS'!$E12="Simple"),"","! Front Side Infrared Hemispherical Emissivity")</f>
        <v>! Front Side Infrared Hemispherical Emissivity</v>
      </c>
    </row>
    <row r="110" spans="1:2">
      <c r="A110" s="412" t="str">
        <f>IF(OR('WIN LAYERS'!$C12="",'WIN LAYERS'!$E12="Simple"),"","    "&amp;'WIN LAYERS'!$S12&amp;",")</f>
        <v xml:space="preserve">    ,</v>
      </c>
      <c r="B110" s="412" t="str">
        <f>IF(OR('WIN LAYERS'!$C12="",'WIN LAYERS'!$E12="Simple"),"","! Back Side Infrared Hemispherical Emissivity")</f>
        <v>! Back Side Infrared Hemispherical Emissivity</v>
      </c>
    </row>
    <row r="111" spans="1:2">
      <c r="A111" s="412" t="str">
        <f>IF(OR('WIN LAYERS'!$C12="",'WIN LAYERS'!$E12="Simple"),"","    "&amp;'WIN LAYERS'!$T12&amp;",")</f>
        <v xml:space="preserve">    ,</v>
      </c>
      <c r="B111" s="412" t="str">
        <f>IF(OR('WIN LAYERS'!$C12="",'WIN LAYERS'!$E12="Simple"),"","! Conductivity")</f>
        <v>! Conductivity</v>
      </c>
    </row>
    <row r="112" spans="1:2">
      <c r="A112" s="416" t="str">
        <f>IF(OR('WIN LAYERS'!$C12="",'WIN LAYERS'!$E12="Simple"),"","    "&amp;'WIN LAYERS'!$U12&amp;",")</f>
        <v xml:space="preserve">    ,</v>
      </c>
      <c r="B112" s="412" t="str">
        <f>IF(OR('WIN LAYERS'!$C12="",'WIN LAYERS'!$E12="Simple"),"","! Dirt Correction Factor for Solar and Visible Transmittance")</f>
        <v>! Dirt Correction Factor for Solar and Visible Transmittance</v>
      </c>
    </row>
    <row r="113" spans="1:2">
      <c r="A113" s="412" t="str">
        <f>IF(OR('WIN LAYERS'!$C12="",'WIN LAYERS'!$E12="Simple"),"","    "&amp;'WIN LAYERS'!$V12&amp;";")</f>
        <v xml:space="preserve">    ;</v>
      </c>
      <c r="B113" s="412" t="str">
        <f>IF(OR('WIN LAYERS'!$C12="",'WIN LAYERS'!$E12="Simple"),"","! Solar Diffusing? Translucent?")</f>
        <v>! Solar Diffusing? Translucent?</v>
      </c>
    </row>
    <row r="114" spans="1:2">
      <c r="A114" s="412"/>
      <c r="B114" s="412"/>
    </row>
    <row r="115" spans="1:2">
      <c r="A115" s="412" t="str">
        <f>IF('WIN LAYERS'!$C13="","",IF(OR('WIN LAYERS'!$E13="Simple",'WIN LAYERS'!$E13="Air"),"WindowMaterial:SimpleGlazingSystem,","WindowMaterial:Glazing,"))</f>
        <v>WindowMaterial:Glazing,</v>
      </c>
      <c r="B115" s="412" t="str">
        <f>IF('WIN LAYERS'!$C13="","","! User defined glazing material from GLAZING MATERIALS")</f>
        <v>! User defined glazing material from GLAZING MATERIALS</v>
      </c>
    </row>
    <row r="116" spans="1:2">
      <c r="A116" s="412" t="str">
        <f>IF('WIN LAYERS'!$C13="","","    Window Material "&amp;'WIN LAYERS'!$B13&amp;",")</f>
        <v xml:space="preserve">    Window Material 7,</v>
      </c>
      <c r="B116" s="412" t="str">
        <f>IF('WIN LAYERS'!$C13="","","!   spreadsheet under #/ID: "&amp;'WIN LAYERS'!$B13&amp;" and Name: "&amp;'WIN LAYERS'!$C13&amp;".")</f>
        <v>!   spreadsheet under #/ID: 7 and Name: ARGON 8MM.</v>
      </c>
    </row>
    <row r="117" spans="1:2">
      <c r="A117" s="412" t="str">
        <f>IF('WIN LAYERS'!$C13="","",IF('WIN LAYERS'!$E13="Simple","    "&amp;'WIN LAYERS'!$F13&amp;",",IF('WIN LAYERS'!$I13="","    SpectralAverage","    Spectral")))</f>
        <v xml:space="preserve">    SpectralAverage</v>
      </c>
      <c r="B117" s="412" t="str">
        <f>IF('WIN LAYERS'!$C13="","",IF('WIN LAYERS'!$E13="Simple","! U-value.","! Calculation Type - Average or Spectral Data Set."))</f>
        <v>! Calculation Type - Average or Spectral Data Set.</v>
      </c>
    </row>
    <row r="118" spans="1:2">
      <c r="A118" s="412" t="str">
        <f>IF('WIN LAYERS'!$C13="","",IF('WIN LAYERS'!$E13="Simple","    "&amp;'WIN LAYERS'!$G13&amp;",",IF($A15="SpectralAverage,","     "&amp;'WIN LAYERS'!$I13&amp;",","    "&amp;'WIN LAYERS'!$I13&amp;" ,")))</f>
        <v xml:space="preserve">     ,</v>
      </c>
      <c r="B118" s="412" t="str">
        <f>IF('WIN LAYERS'!$C13="","",IF('WIN LAYERS'!$E13="Simple","! SHGC.","! DataSet Name if Calc Type is Sprectral"))</f>
        <v>! DataSet Name if Calc Type is Sprectral</v>
      </c>
    </row>
    <row r="119" spans="1:2">
      <c r="A119" s="412" t="str">
        <f>IF('WIN LAYERS'!$C13="","",IF('WIN LAYERS'!$E13="Simple","    "&amp;'WIN LAYERS'!$H13&amp;";","    "&amp;'WIN LAYERS'!$J13/1000&amp;","))</f>
        <v xml:space="preserve">    0.0079,</v>
      </c>
      <c r="B119" s="412" t="str">
        <f>IF('WIN LAYERS'!$C13="","",IF('WIN LAYERS'!$E13="Simple","! Visible Transmittance","! Thickness"))</f>
        <v>! Thickness</v>
      </c>
    </row>
    <row r="120" spans="1:2">
      <c r="A120" s="412" t="str">
        <f>IF('WIN LAYERS'!$C13="","",IF('WIN LAYERS'!$E13="Simple","","    "&amp;'WIN LAYERS'!$K13&amp;","))</f>
        <v xml:space="preserve">    ,</v>
      </c>
      <c r="B120" s="412" t="str">
        <f>IF(OR('WIN LAYERS'!$C13="",'WIN LAYERS'!$E13="Simple"),"","! Solar Transmittance at Normal Incidence")</f>
        <v>! Solar Transmittance at Normal Incidence</v>
      </c>
    </row>
    <row r="121" spans="1:2">
      <c r="A121" s="412" t="str">
        <f>IF(OR('WIN LAYERS'!$C13="",'WIN LAYERS'!$E13="Simple"),"","    "&amp;'WIN LAYERS'!$L13&amp;",")</f>
        <v xml:space="preserve">    ,</v>
      </c>
      <c r="B121" s="412" t="str">
        <f>IF(OR('WIN LAYERS'!$C13="",'WIN LAYERS'!$E13="Simple"),"","! Front Side Solar Reflectance at Normal Incidence")</f>
        <v>! Front Side Solar Reflectance at Normal Incidence</v>
      </c>
    </row>
    <row r="122" spans="1:2">
      <c r="A122" s="412" t="str">
        <f>IF(OR('WIN LAYERS'!$C13="",'WIN LAYERS'!$E13="Simple"),"","    "&amp;'WIN LAYERS'!$M13&amp;",")</f>
        <v xml:space="preserve">    ,</v>
      </c>
      <c r="B122" s="412" t="str">
        <f>IF(OR('WIN LAYERS'!$C13="",'WIN LAYERS'!$E13="Simple"),"","! Back Side Solar Reflectance at Normal Incidence")</f>
        <v>! Back Side Solar Reflectance at Normal Incidence</v>
      </c>
    </row>
    <row r="123" spans="1:2">
      <c r="A123" s="412" t="str">
        <f>IF(OR('WIN LAYERS'!$C13="",'WIN LAYERS'!$E13="Simple"),"","    "&amp;'WIN LAYERS'!$N13&amp;",")</f>
        <v xml:space="preserve">    ,</v>
      </c>
      <c r="B123" s="412" t="str">
        <f>IF(OR('WIN LAYERS'!$C13="",'WIN LAYERS'!$E13="Simple"),"","! Visible Transmittance at Normal Incidence")</f>
        <v>! Visible Transmittance at Normal Incidence</v>
      </c>
    </row>
    <row r="124" spans="1:2">
      <c r="A124" s="412" t="str">
        <f>IF(OR('WIN LAYERS'!$C13="",'WIN LAYERS'!$E13="Simple"),"","    "&amp;'WIN LAYERS'!$O13&amp;",")</f>
        <v xml:space="preserve">    ,</v>
      </c>
      <c r="B124" s="412" t="str">
        <f>IF(OR('WIN LAYERS'!$C13="",'WIN LAYERS'!$E13="Simple"),"","! Front Side Visible Reflectance at Normal Incidence")</f>
        <v>! Front Side Visible Reflectance at Normal Incidence</v>
      </c>
    </row>
    <row r="125" spans="1:2">
      <c r="A125" s="412" t="str">
        <f>IF(OR('WIN LAYERS'!$C13="",'WIN LAYERS'!$E13="Simple"),"","    "&amp;'WIN LAYERS'!$P13&amp;",")</f>
        <v xml:space="preserve">    ,</v>
      </c>
      <c r="B125" s="412" t="str">
        <f>IF(OR('WIN LAYERS'!$C13="",'WIN LAYERS'!$E13="Simple"),"","! Back Side Visible Reflectance at Normal Incidence")</f>
        <v>! Back Side Visible Reflectance at Normal Incidence</v>
      </c>
    </row>
    <row r="126" spans="1:2">
      <c r="A126" s="412" t="str">
        <f>IF(OR('WIN LAYERS'!$C13="",'WIN LAYERS'!$E13="Simple"),"","    "&amp;'WIN LAYERS'!$Q13&amp;",")</f>
        <v xml:space="preserve">    ,</v>
      </c>
      <c r="B126" s="412" t="str">
        <f>IF(OR('WIN LAYERS'!$C13="",'WIN LAYERS'!$E13="Simple"),"","! Infrared Transmittance at Normal Incidence")</f>
        <v>! Infrared Transmittance at Normal Incidence</v>
      </c>
    </row>
    <row r="127" spans="1:2">
      <c r="A127" s="412" t="str">
        <f>IF(OR('WIN LAYERS'!$C13="",'WIN LAYERS'!$E13="Simple"),"","    "&amp;'WIN LAYERS'!$R13&amp;",")</f>
        <v xml:space="preserve">    ,</v>
      </c>
      <c r="B127" s="412" t="str">
        <f>IF(OR('WIN LAYERS'!$C13="",'WIN LAYERS'!$E13="Simple"),"","! Front Side Infrared Hemispherical Emissivity")</f>
        <v>! Front Side Infrared Hemispherical Emissivity</v>
      </c>
    </row>
    <row r="128" spans="1:2">
      <c r="A128" s="412" t="str">
        <f>IF(OR('WIN LAYERS'!$C13="",'WIN LAYERS'!$E13="Simple"),"","    "&amp;'WIN LAYERS'!$S13&amp;",")</f>
        <v xml:space="preserve">    ,</v>
      </c>
      <c r="B128" s="412" t="str">
        <f>IF(OR('WIN LAYERS'!$C13="",'WIN LAYERS'!$E13="Simple"),"","! Back Side Infrared Hemispherical Emissivity")</f>
        <v>! Back Side Infrared Hemispherical Emissivity</v>
      </c>
    </row>
    <row r="129" spans="1:2">
      <c r="A129" s="412" t="str">
        <f>IF(OR('WIN LAYERS'!$C13="",'WIN LAYERS'!$E13="Simple"),"","    "&amp;'WIN LAYERS'!$T13&amp;",")</f>
        <v xml:space="preserve">    ,</v>
      </c>
      <c r="B129" s="412" t="str">
        <f>IF(OR('WIN LAYERS'!$C13="",'WIN LAYERS'!$E13="Simple"),"","! Conductivity")</f>
        <v>! Conductivity</v>
      </c>
    </row>
    <row r="130" spans="1:2">
      <c r="A130" s="416" t="str">
        <f>IF(OR('WIN LAYERS'!$C13="",'WIN LAYERS'!$E13="Simple"),"","    "&amp;'WIN LAYERS'!$U13&amp;",")</f>
        <v xml:space="preserve">    ,</v>
      </c>
      <c r="B130" s="412" t="str">
        <f>IF(OR('WIN LAYERS'!$C13="",'WIN LAYERS'!$E13="Simple"),"","! Dirt Correction Factor for Solar and Visible Transmittance")</f>
        <v>! Dirt Correction Factor for Solar and Visible Transmittance</v>
      </c>
    </row>
    <row r="131" spans="1:2">
      <c r="A131" s="412" t="str">
        <f>IF(OR('WIN LAYERS'!$C13="",'WIN LAYERS'!$E13="Simple"),"","    "&amp;'WIN LAYERS'!$V13&amp;";")</f>
        <v xml:space="preserve">    ;</v>
      </c>
      <c r="B131" s="412" t="str">
        <f>IF(OR('WIN LAYERS'!$C13="",'WIN LAYERS'!$E13="Simple"),"","! Solar Diffusing? Translucent?")</f>
        <v>! Solar Diffusing? Translucent?</v>
      </c>
    </row>
    <row r="132" spans="1:2">
      <c r="A132" s="412"/>
      <c r="B132" s="412"/>
    </row>
    <row r="133" spans="1:2">
      <c r="A133" s="412" t="str">
        <f>IF('WIN LAYERS'!$C14="","",IF(OR('WIN LAYERS'!$E14="Simple",'WIN LAYERS'!$E14="Air"),"WindowMaterial:SimpleGlazingSystem,","WindowMaterial:Glazing,"))</f>
        <v>WindowMaterial:Glazing,</v>
      </c>
      <c r="B133" s="412" t="str">
        <f>IF('WIN LAYERS'!$C14="","","! User defined glazing material from GLAZING MATERIALS")</f>
        <v>! User defined glazing material from GLAZING MATERIALS</v>
      </c>
    </row>
    <row r="134" spans="1:2">
      <c r="A134" s="412" t="str">
        <f>IF('WIN LAYERS'!$C14="","","    Window Material "&amp;'WIN LAYERS'!$B14&amp;",")</f>
        <v xml:space="preserve">    Window Material 8,</v>
      </c>
      <c r="B134" s="412" t="str">
        <f>IF('WIN LAYERS'!$C14="","","!   spreadsheet under #/ID: "&amp;'WIN LAYERS'!$B14&amp;" and Name: "&amp;'WIN LAYERS'!$C14&amp;".")</f>
        <v>!   spreadsheet under #/ID: 8 and Name: ARGON 13MM.</v>
      </c>
    </row>
    <row r="135" spans="1:2">
      <c r="A135" s="412" t="str">
        <f>IF('WIN LAYERS'!$C14="","",IF('WIN LAYERS'!$E14="Simple","    "&amp;'WIN LAYERS'!$F14&amp;",",IF('WIN LAYERS'!$I14="","    SpectralAverage","    Spectral")))</f>
        <v xml:space="preserve">    SpectralAverage</v>
      </c>
      <c r="B135" s="412" t="str">
        <f>IF('WIN LAYERS'!$C14="","",IF('WIN LAYERS'!$E14="Simple","! U-value.","! Calculation Type - Average or Spectral Data Set."))</f>
        <v>! Calculation Type - Average or Spectral Data Set.</v>
      </c>
    </row>
    <row r="136" spans="1:2">
      <c r="A136" s="412" t="str">
        <f>IF('WIN LAYERS'!$C14="","",IF('WIN LAYERS'!$E14="Simple","    "&amp;'WIN LAYERS'!$G14&amp;",",IF($A16="SpectralAverage,","     "&amp;'WIN LAYERS'!$I14&amp;",","    "&amp;'WIN LAYERS'!$I14&amp;" ,")))</f>
        <v xml:space="preserve">     ,</v>
      </c>
      <c r="B136" s="412" t="str">
        <f>IF('WIN LAYERS'!$C14="","",IF('WIN LAYERS'!$E14="Simple","! SHGC.","! DataSet Name if Calc Type is Sprectral"))</f>
        <v>! DataSet Name if Calc Type is Sprectral</v>
      </c>
    </row>
    <row r="137" spans="1:2">
      <c r="A137" s="412" t="str">
        <f>IF('WIN LAYERS'!$C14="","",IF('WIN LAYERS'!$E14="Simple","    "&amp;'WIN LAYERS'!$H14&amp;";","    "&amp;'WIN LAYERS'!$J14/1000&amp;","))</f>
        <v xml:space="preserve">    0.0127,</v>
      </c>
      <c r="B137" s="412" t="str">
        <f>IF('WIN LAYERS'!$C14="","",IF('WIN LAYERS'!$E14="Simple","! Visible Transmittance","! Thickness"))</f>
        <v>! Thickness</v>
      </c>
    </row>
    <row r="138" spans="1:2">
      <c r="A138" s="412" t="str">
        <f>IF('WIN LAYERS'!$C14="","",IF('WIN LAYERS'!$E14="Simple","","    "&amp;'WIN LAYERS'!$K14&amp;","))</f>
        <v xml:space="preserve">    ,</v>
      </c>
      <c r="B138" s="412" t="str">
        <f>IF(OR('WIN LAYERS'!$C14="",'WIN LAYERS'!$E14="Simple"),"","! Solar Transmittance at Normal Incidence")</f>
        <v>! Solar Transmittance at Normal Incidence</v>
      </c>
    </row>
    <row r="139" spans="1:2">
      <c r="A139" s="412" t="str">
        <f>IF(OR('WIN LAYERS'!$C14="",'WIN LAYERS'!$E14="Simple"),"","    "&amp;'WIN LAYERS'!$L14&amp;",")</f>
        <v xml:space="preserve">    ,</v>
      </c>
      <c r="B139" s="412" t="str">
        <f>IF(OR('WIN LAYERS'!$C14="",'WIN LAYERS'!$E14="Simple"),"","! Front Side Solar Reflectance at Normal Incidence")</f>
        <v>! Front Side Solar Reflectance at Normal Incidence</v>
      </c>
    </row>
    <row r="140" spans="1:2">
      <c r="A140" s="412" t="str">
        <f>IF(OR('WIN LAYERS'!$C14="",'WIN LAYERS'!$E14="Simple"),"","    "&amp;'WIN LAYERS'!$M14&amp;",")</f>
        <v xml:space="preserve">    ,</v>
      </c>
      <c r="B140" s="412" t="str">
        <f>IF(OR('WIN LAYERS'!$C14="",'WIN LAYERS'!$E14="Simple"),"","! Back Side Solar Reflectance at Normal Incidence")</f>
        <v>! Back Side Solar Reflectance at Normal Incidence</v>
      </c>
    </row>
    <row r="141" spans="1:2">
      <c r="A141" s="412" t="str">
        <f>IF(OR('WIN LAYERS'!$C14="",'WIN LAYERS'!$E14="Simple"),"","    "&amp;'WIN LAYERS'!$N14&amp;",")</f>
        <v xml:space="preserve">    ,</v>
      </c>
      <c r="B141" s="412" t="str">
        <f>IF(OR('WIN LAYERS'!$C14="",'WIN LAYERS'!$E14="Simple"),"","! Visible Transmittance at Normal Incidence")</f>
        <v>! Visible Transmittance at Normal Incidence</v>
      </c>
    </row>
    <row r="142" spans="1:2">
      <c r="A142" s="412" t="str">
        <f>IF(OR('WIN LAYERS'!$C14="",'WIN LAYERS'!$E14="Simple"),"","    "&amp;'WIN LAYERS'!$O14&amp;",")</f>
        <v xml:space="preserve">    ,</v>
      </c>
      <c r="B142" s="412" t="str">
        <f>IF(OR('WIN LAYERS'!$C14="",'WIN LAYERS'!$E14="Simple"),"","! Front Side Visible Reflectance at Normal Incidence")</f>
        <v>! Front Side Visible Reflectance at Normal Incidence</v>
      </c>
    </row>
    <row r="143" spans="1:2">
      <c r="A143" s="412" t="str">
        <f>IF(OR('WIN LAYERS'!$C14="",'WIN LAYERS'!$E14="Simple"),"","    "&amp;'WIN LAYERS'!$P14&amp;",")</f>
        <v xml:space="preserve">    ,</v>
      </c>
      <c r="B143" s="412" t="str">
        <f>IF(OR('WIN LAYERS'!$C14="",'WIN LAYERS'!$E14="Simple"),"","! Back Side Visible Reflectance at Normal Incidence")</f>
        <v>! Back Side Visible Reflectance at Normal Incidence</v>
      </c>
    </row>
    <row r="144" spans="1:2">
      <c r="A144" s="412" t="str">
        <f>IF(OR('WIN LAYERS'!$C14="",'WIN LAYERS'!$E14="Simple"),"","    "&amp;'WIN LAYERS'!$Q14&amp;",")</f>
        <v xml:space="preserve">    ,</v>
      </c>
      <c r="B144" s="412" t="str">
        <f>IF(OR('WIN LAYERS'!$C14="",'WIN LAYERS'!$E14="Simple"),"","! Infrared Transmittance at Normal Incidence")</f>
        <v>! Infrared Transmittance at Normal Incidence</v>
      </c>
    </row>
    <row r="145" spans="1:2">
      <c r="A145" s="412" t="str">
        <f>IF(OR('WIN LAYERS'!$C14="",'WIN LAYERS'!$E14="Simple"),"","    "&amp;'WIN LAYERS'!$R14&amp;",")</f>
        <v xml:space="preserve">    ,</v>
      </c>
      <c r="B145" s="412" t="str">
        <f>IF(OR('WIN LAYERS'!$C14="",'WIN LAYERS'!$E14="Simple"),"","! Front Side Infrared Hemispherical Emissivity")</f>
        <v>! Front Side Infrared Hemispherical Emissivity</v>
      </c>
    </row>
    <row r="146" spans="1:2">
      <c r="A146" s="412" t="str">
        <f>IF(OR('WIN LAYERS'!$C14="",'WIN LAYERS'!$E14="Simple"),"","    "&amp;'WIN LAYERS'!$S14&amp;",")</f>
        <v xml:space="preserve">    ,</v>
      </c>
      <c r="B146" s="412" t="str">
        <f>IF(OR('WIN LAYERS'!$C14="",'WIN LAYERS'!$E14="Simple"),"","! Back Side Infrared Hemispherical Emissivity")</f>
        <v>! Back Side Infrared Hemispherical Emissivity</v>
      </c>
    </row>
    <row r="147" spans="1:2">
      <c r="A147" s="412" t="str">
        <f>IF(OR('WIN LAYERS'!$C14="",'WIN LAYERS'!$E14="Simple"),"","    "&amp;'WIN LAYERS'!$T14&amp;",")</f>
        <v xml:space="preserve">    ,</v>
      </c>
      <c r="B147" s="412" t="str">
        <f>IF(OR('WIN LAYERS'!$C14="",'WIN LAYERS'!$E14="Simple"),"","! Conductivity")</f>
        <v>! Conductivity</v>
      </c>
    </row>
    <row r="148" spans="1:2">
      <c r="A148" s="416" t="str">
        <f>IF(OR('WIN LAYERS'!$C14="",'WIN LAYERS'!$E14="Simple"),"","    "&amp;'WIN LAYERS'!$U14&amp;",")</f>
        <v xml:space="preserve">    ,</v>
      </c>
      <c r="B148" s="412" t="str">
        <f>IF(OR('WIN LAYERS'!$C14="",'WIN LAYERS'!$E14="Simple"),"","! Dirt Correction Factor for Solar and Visible Transmittance")</f>
        <v>! Dirt Correction Factor for Solar and Visible Transmittance</v>
      </c>
    </row>
    <row r="149" spans="1:2">
      <c r="A149" s="412" t="str">
        <f>IF(OR('WIN LAYERS'!$C14="",'WIN LAYERS'!$E14="Simple"),"","    "&amp;'WIN LAYERS'!$V14&amp;";")</f>
        <v xml:space="preserve">    ;</v>
      </c>
      <c r="B149" s="412" t="str">
        <f>IF(OR('WIN LAYERS'!$C14="",'WIN LAYERS'!$E14="Simple"),"","! Solar Diffusing? Translucent?")</f>
        <v>! Solar Diffusing? Translucent?</v>
      </c>
    </row>
    <row r="150" spans="1:2">
      <c r="A150" s="412"/>
      <c r="B150" s="412"/>
    </row>
    <row r="151" spans="1:2">
      <c r="A151" s="412" t="str">
        <f>IF('WIN LAYERS'!$C15="","",IF(OR('WIN LAYERS'!$E15="Simple",'WIN LAYERS'!$E15="Air"),"WindowMaterial:SimpleGlazingSystem,","WindowMaterial:Glazing,"))</f>
        <v>WindowMaterial:Glazing,</v>
      </c>
      <c r="B151" s="412" t="str">
        <f>IF('WIN LAYERS'!$C15="","","! User defined glazing material from GLAZING MATERIALS")</f>
        <v>! User defined glazing material from GLAZING MATERIALS</v>
      </c>
    </row>
    <row r="152" spans="1:2">
      <c r="A152" s="412" t="str">
        <f>IF('WIN LAYERS'!$C15="","","    Window Material "&amp;'WIN LAYERS'!$B15&amp;",")</f>
        <v xml:space="preserve">    Window Material 9,</v>
      </c>
      <c r="B152" s="412" t="str">
        <f>IF('WIN LAYERS'!$C15="","","!   spreadsheet under #/ID: "&amp;'WIN LAYERS'!$B15&amp;" and Name: "&amp;'WIN LAYERS'!$C15&amp;".")</f>
        <v>!   spreadsheet under #/ID: 9 and Name: KRYPTON 3MM.</v>
      </c>
    </row>
    <row r="153" spans="1:2">
      <c r="A153" s="412" t="str">
        <f>IF('WIN LAYERS'!$C15="","",IF('WIN LAYERS'!$E15="Simple","    "&amp;'WIN LAYERS'!$F15&amp;",",IF('WIN LAYERS'!$I15="","    SpectralAverage","    Spectral")))</f>
        <v xml:space="preserve">    SpectralAverage</v>
      </c>
      <c r="B153" s="412" t="str">
        <f>IF('WIN LAYERS'!$C15="","",IF('WIN LAYERS'!$E15="Simple","! U-value.","! Calculation Type - Average or Spectral Data Set."))</f>
        <v>! Calculation Type - Average or Spectral Data Set.</v>
      </c>
    </row>
    <row r="154" spans="1:2">
      <c r="A154" s="412" t="str">
        <f>IF('WIN LAYERS'!$C15="","",IF('WIN LAYERS'!$E15="Simple","    "&amp;'WIN LAYERS'!$G15&amp;",",IF($A17="SpectralAverage,","     "&amp;'WIN LAYERS'!$I15&amp;",","    "&amp;'WIN LAYERS'!$I15&amp;" ,")))</f>
        <v xml:space="preserve">     ,</v>
      </c>
      <c r="B154" s="412" t="str">
        <f>IF('WIN LAYERS'!$C15="","",IF('WIN LAYERS'!$E15="Simple","! SHGC.","! DataSet Name if Calc Type is Sprectral"))</f>
        <v>! DataSet Name if Calc Type is Sprectral</v>
      </c>
    </row>
    <row r="155" spans="1:2">
      <c r="A155" s="412" t="str">
        <f>IF('WIN LAYERS'!$C15="","",IF('WIN LAYERS'!$E15="Simple","    "&amp;'WIN LAYERS'!$H15&amp;";","    "&amp;'WIN LAYERS'!$J15/1000&amp;","))</f>
        <v xml:space="preserve">    0.0032,</v>
      </c>
      <c r="B155" s="412" t="str">
        <f>IF('WIN LAYERS'!$C15="","",IF('WIN LAYERS'!$E15="Simple","! Visible Transmittance","! Thickness"))</f>
        <v>! Thickness</v>
      </c>
    </row>
    <row r="156" spans="1:2">
      <c r="A156" s="412" t="str">
        <f>IF('WIN LAYERS'!$C15="","",IF('WIN LAYERS'!$E15="Simple","","    "&amp;'WIN LAYERS'!$K15&amp;","))</f>
        <v xml:space="preserve">    ,</v>
      </c>
      <c r="B156" s="412" t="str">
        <f>IF(OR('WIN LAYERS'!$C15="",'WIN LAYERS'!$E15="Simple"),"","! Solar Transmittance at Normal Incidence")</f>
        <v>! Solar Transmittance at Normal Incidence</v>
      </c>
    </row>
    <row r="157" spans="1:2">
      <c r="A157" s="412" t="str">
        <f>IF(OR('WIN LAYERS'!$C15="",'WIN LAYERS'!$E15="Simple"),"","    "&amp;'WIN LAYERS'!$L15&amp;",")</f>
        <v xml:space="preserve">    ,</v>
      </c>
      <c r="B157" s="412" t="str">
        <f>IF(OR('WIN LAYERS'!$C15="",'WIN LAYERS'!$E15="Simple"),"","! Front Side Solar Reflectance at Normal Incidence")</f>
        <v>! Front Side Solar Reflectance at Normal Incidence</v>
      </c>
    </row>
    <row r="158" spans="1:2">
      <c r="A158" s="412" t="str">
        <f>IF(OR('WIN LAYERS'!$C15="",'WIN LAYERS'!$E15="Simple"),"","    "&amp;'WIN LAYERS'!$M15&amp;",")</f>
        <v xml:space="preserve">    ,</v>
      </c>
      <c r="B158" s="412" t="str">
        <f>IF(OR('WIN LAYERS'!$C15="",'WIN LAYERS'!$E15="Simple"),"","! Back Side Solar Reflectance at Normal Incidence")</f>
        <v>! Back Side Solar Reflectance at Normal Incidence</v>
      </c>
    </row>
    <row r="159" spans="1:2">
      <c r="A159" s="412" t="str">
        <f>IF(OR('WIN LAYERS'!$C15="",'WIN LAYERS'!$E15="Simple"),"","    "&amp;'WIN LAYERS'!$N15&amp;",")</f>
        <v xml:space="preserve">    ,</v>
      </c>
      <c r="B159" s="412" t="str">
        <f>IF(OR('WIN LAYERS'!$C15="",'WIN LAYERS'!$E15="Simple"),"","! Visible Transmittance at Normal Incidence")</f>
        <v>! Visible Transmittance at Normal Incidence</v>
      </c>
    </row>
    <row r="160" spans="1:2">
      <c r="A160" s="412" t="str">
        <f>IF(OR('WIN LAYERS'!$C15="",'WIN LAYERS'!$E15="Simple"),"","    "&amp;'WIN LAYERS'!$O15&amp;",")</f>
        <v xml:space="preserve">    ,</v>
      </c>
      <c r="B160" s="412" t="str">
        <f>IF(OR('WIN LAYERS'!$C15="",'WIN LAYERS'!$E15="Simple"),"","! Front Side Visible Reflectance at Normal Incidence")</f>
        <v>! Front Side Visible Reflectance at Normal Incidence</v>
      </c>
    </row>
    <row r="161" spans="1:2">
      <c r="A161" s="412" t="str">
        <f>IF(OR('WIN LAYERS'!$C15="",'WIN LAYERS'!$E15="Simple"),"","    "&amp;'WIN LAYERS'!$P15&amp;",")</f>
        <v xml:space="preserve">    ,</v>
      </c>
      <c r="B161" s="412" t="str">
        <f>IF(OR('WIN LAYERS'!$C15="",'WIN LAYERS'!$E15="Simple"),"","! Back Side Visible Reflectance at Normal Incidence")</f>
        <v>! Back Side Visible Reflectance at Normal Incidence</v>
      </c>
    </row>
    <row r="162" spans="1:2">
      <c r="A162" s="412" t="str">
        <f>IF(OR('WIN LAYERS'!$C15="",'WIN LAYERS'!$E15="Simple"),"","    "&amp;'WIN LAYERS'!$Q15&amp;",")</f>
        <v xml:space="preserve">    ,</v>
      </c>
      <c r="B162" s="412" t="str">
        <f>IF(OR('WIN LAYERS'!$C15="",'WIN LAYERS'!$E15="Simple"),"","! Infrared Transmittance at Normal Incidence")</f>
        <v>! Infrared Transmittance at Normal Incidence</v>
      </c>
    </row>
    <row r="163" spans="1:2">
      <c r="A163" s="412" t="str">
        <f>IF(OR('WIN LAYERS'!$C15="",'WIN LAYERS'!$E15="Simple"),"","    "&amp;'WIN LAYERS'!$R15&amp;",")</f>
        <v xml:space="preserve">    ,</v>
      </c>
      <c r="B163" s="412" t="str">
        <f>IF(OR('WIN LAYERS'!$C15="",'WIN LAYERS'!$E15="Simple"),"","! Front Side Infrared Hemispherical Emissivity")</f>
        <v>! Front Side Infrared Hemispherical Emissivity</v>
      </c>
    </row>
    <row r="164" spans="1:2">
      <c r="A164" s="412" t="str">
        <f>IF(OR('WIN LAYERS'!$C15="",'WIN LAYERS'!$E15="Simple"),"","    "&amp;'WIN LAYERS'!$S15&amp;",")</f>
        <v xml:space="preserve">    ,</v>
      </c>
      <c r="B164" s="412" t="str">
        <f>IF(OR('WIN LAYERS'!$C15="",'WIN LAYERS'!$E15="Simple"),"","! Back Side Infrared Hemispherical Emissivity")</f>
        <v>! Back Side Infrared Hemispherical Emissivity</v>
      </c>
    </row>
    <row r="165" spans="1:2">
      <c r="A165" s="412" t="str">
        <f>IF(OR('WIN LAYERS'!$C15="",'WIN LAYERS'!$E15="Simple"),"","    "&amp;'WIN LAYERS'!$T15&amp;",")</f>
        <v xml:space="preserve">    ,</v>
      </c>
      <c r="B165" s="412" t="str">
        <f>IF(OR('WIN LAYERS'!$C15="",'WIN LAYERS'!$E15="Simple"),"","! Conductivity")</f>
        <v>! Conductivity</v>
      </c>
    </row>
    <row r="166" spans="1:2">
      <c r="A166" s="416" t="str">
        <f>IF(OR('WIN LAYERS'!$C15="",'WIN LAYERS'!$E15="Simple"),"","    "&amp;'WIN LAYERS'!$U15&amp;",")</f>
        <v xml:space="preserve">    ,</v>
      </c>
      <c r="B166" s="412" t="str">
        <f>IF(OR('WIN LAYERS'!$C15="",'WIN LAYERS'!$E15="Simple"),"","! Dirt Correction Factor for Solar and Visible Transmittance")</f>
        <v>! Dirt Correction Factor for Solar and Visible Transmittance</v>
      </c>
    </row>
    <row r="167" spans="1:2">
      <c r="A167" s="412" t="str">
        <f>IF(OR('WIN LAYERS'!$C15="",'WIN LAYERS'!$E15="Simple"),"","    "&amp;'WIN LAYERS'!$V15&amp;";")</f>
        <v xml:space="preserve">    ;</v>
      </c>
      <c r="B167" s="412" t="str">
        <f>IF(OR('WIN LAYERS'!$C15="",'WIN LAYERS'!$E15="Simple"),"","! Solar Diffusing? Translucent?")</f>
        <v>! Solar Diffusing? Translucent?</v>
      </c>
    </row>
    <row r="168" spans="1:2">
      <c r="A168" s="412"/>
      <c r="B168" s="412"/>
    </row>
    <row r="169" spans="1:2">
      <c r="A169" s="412" t="str">
        <f>IF('WIN LAYERS'!$C16="","",IF(OR('WIN LAYERS'!$E16="Simple",'WIN LAYERS'!$E16="Air"),"WindowMaterial:SimpleGlazingSystem,","WindowMaterial:Glazing,"))</f>
        <v>WindowMaterial:Glazing,</v>
      </c>
      <c r="B169" s="412" t="str">
        <f>IF('WIN LAYERS'!$C16="","","! User defined glazing material from GLAZING MATERIALS")</f>
        <v>! User defined glazing material from GLAZING MATERIALS</v>
      </c>
    </row>
    <row r="170" spans="1:2">
      <c r="A170" s="412" t="str">
        <f>IF('WIN LAYERS'!$C16="","","    Window Material "&amp;'WIN LAYERS'!$B16&amp;",")</f>
        <v xml:space="preserve">    Window Material 10,</v>
      </c>
      <c r="B170" s="412" t="str">
        <f>IF('WIN LAYERS'!$C16="","","!   spreadsheet under #/ID: "&amp;'WIN LAYERS'!$B16&amp;" and Name: "&amp;'WIN LAYERS'!$C16&amp;".")</f>
        <v>!   spreadsheet under #/ID: 10 and Name: KRYPTON 6MM.</v>
      </c>
    </row>
    <row r="171" spans="1:2">
      <c r="A171" s="412" t="str">
        <f>IF('WIN LAYERS'!$C16="","",IF('WIN LAYERS'!$E16="Simple","    "&amp;'WIN LAYERS'!$F16&amp;",",IF('WIN LAYERS'!$I16="","    SpectralAverage","    Spectral")))</f>
        <v xml:space="preserve">    SpectralAverage</v>
      </c>
      <c r="B171" s="412" t="str">
        <f>IF('WIN LAYERS'!$C16="","",IF('WIN LAYERS'!$E16="Simple","! U-value.","! Calculation Type - Average or Spectral Data Set."))</f>
        <v>! Calculation Type - Average or Spectral Data Set.</v>
      </c>
    </row>
    <row r="172" spans="1:2">
      <c r="A172" s="412" t="str">
        <f>IF('WIN LAYERS'!$C16="","",IF('WIN LAYERS'!$E16="Simple","    "&amp;'WIN LAYERS'!$G16&amp;",",IF($A18="SpectralAverage,","     "&amp;'WIN LAYERS'!$I16&amp;",","    "&amp;'WIN LAYERS'!$I16&amp;" ,")))</f>
        <v xml:space="preserve">     ,</v>
      </c>
      <c r="B172" s="412" t="str">
        <f>IF('WIN LAYERS'!$C16="","",IF('WIN LAYERS'!$E16="Simple","! SHGC.","! DataSet Name if Calc Type is Sprectral"))</f>
        <v>! DataSet Name if Calc Type is Sprectral</v>
      </c>
    </row>
    <row r="173" spans="1:2">
      <c r="A173" s="412" t="str">
        <f>IF('WIN LAYERS'!$C16="","",IF('WIN LAYERS'!$E16="Simple","    "&amp;'WIN LAYERS'!$H16&amp;";","    "&amp;'WIN LAYERS'!$J16/1000&amp;","))</f>
        <v xml:space="preserve">    0.0063,</v>
      </c>
      <c r="B173" s="412" t="str">
        <f>IF('WIN LAYERS'!$C16="","",IF('WIN LAYERS'!$E16="Simple","! Visible Transmittance","! Thickness"))</f>
        <v>! Thickness</v>
      </c>
    </row>
    <row r="174" spans="1:2">
      <c r="A174" s="412" t="str">
        <f>IF('WIN LAYERS'!$C16="","",IF('WIN LAYERS'!$E16="Simple","","    "&amp;'WIN LAYERS'!$K16&amp;","))</f>
        <v xml:space="preserve">    ,</v>
      </c>
      <c r="B174" s="412" t="str">
        <f>IF(OR('WIN LAYERS'!$C16="",'WIN LAYERS'!$E16="Simple"),"","! Solar Transmittance at Normal Incidence")</f>
        <v>! Solar Transmittance at Normal Incidence</v>
      </c>
    </row>
    <row r="175" spans="1:2">
      <c r="A175" s="412" t="str">
        <f>IF(OR('WIN LAYERS'!$C16="",'WIN LAYERS'!$E16="Simple"),"","    "&amp;'WIN LAYERS'!$L16&amp;",")</f>
        <v xml:space="preserve">    ,</v>
      </c>
      <c r="B175" s="412" t="str">
        <f>IF(OR('WIN LAYERS'!$C16="",'WIN LAYERS'!$E16="Simple"),"","! Front Side Solar Reflectance at Normal Incidence")</f>
        <v>! Front Side Solar Reflectance at Normal Incidence</v>
      </c>
    </row>
    <row r="176" spans="1:2">
      <c r="A176" s="412" t="str">
        <f>IF(OR('WIN LAYERS'!$C16="",'WIN LAYERS'!$E16="Simple"),"","    "&amp;'WIN LAYERS'!$M16&amp;",")</f>
        <v xml:space="preserve">    ,</v>
      </c>
      <c r="B176" s="412" t="str">
        <f>IF(OR('WIN LAYERS'!$C16="",'WIN LAYERS'!$E16="Simple"),"","! Back Side Solar Reflectance at Normal Incidence")</f>
        <v>! Back Side Solar Reflectance at Normal Incidence</v>
      </c>
    </row>
    <row r="177" spans="1:2">
      <c r="A177" s="412" t="str">
        <f>IF(OR('WIN LAYERS'!$C16="",'WIN LAYERS'!$E16="Simple"),"","    "&amp;'WIN LAYERS'!$N16&amp;",")</f>
        <v xml:space="preserve">    ,</v>
      </c>
      <c r="B177" s="412" t="str">
        <f>IF(OR('WIN LAYERS'!$C16="",'WIN LAYERS'!$E16="Simple"),"","! Visible Transmittance at Normal Incidence")</f>
        <v>! Visible Transmittance at Normal Incidence</v>
      </c>
    </row>
    <row r="178" spans="1:2">
      <c r="A178" s="412" t="str">
        <f>IF(OR('WIN LAYERS'!$C16="",'WIN LAYERS'!$E16="Simple"),"","    "&amp;'WIN LAYERS'!$O16&amp;",")</f>
        <v xml:space="preserve">    ,</v>
      </c>
      <c r="B178" s="412" t="str">
        <f>IF(OR('WIN LAYERS'!$C16="",'WIN LAYERS'!$E16="Simple"),"","! Front Side Visible Reflectance at Normal Incidence")</f>
        <v>! Front Side Visible Reflectance at Normal Incidence</v>
      </c>
    </row>
    <row r="179" spans="1:2">
      <c r="A179" s="412" t="str">
        <f>IF(OR('WIN LAYERS'!$C16="",'WIN LAYERS'!$E16="Simple"),"","    "&amp;'WIN LAYERS'!$P16&amp;",")</f>
        <v xml:space="preserve">    ,</v>
      </c>
      <c r="B179" s="412" t="str">
        <f>IF(OR('WIN LAYERS'!$C16="",'WIN LAYERS'!$E16="Simple"),"","! Back Side Visible Reflectance at Normal Incidence")</f>
        <v>! Back Side Visible Reflectance at Normal Incidence</v>
      </c>
    </row>
    <row r="180" spans="1:2">
      <c r="A180" s="412" t="str">
        <f>IF(OR('WIN LAYERS'!$C16="",'WIN LAYERS'!$E16="Simple"),"","    "&amp;'WIN LAYERS'!$Q16&amp;",")</f>
        <v xml:space="preserve">    ,</v>
      </c>
      <c r="B180" s="412" t="str">
        <f>IF(OR('WIN LAYERS'!$C16="",'WIN LAYERS'!$E16="Simple"),"","! Infrared Transmittance at Normal Incidence")</f>
        <v>! Infrared Transmittance at Normal Incidence</v>
      </c>
    </row>
    <row r="181" spans="1:2">
      <c r="A181" s="412" t="str">
        <f>IF(OR('WIN LAYERS'!$C16="",'WIN LAYERS'!$E16="Simple"),"","    "&amp;'WIN LAYERS'!$R16&amp;",")</f>
        <v xml:space="preserve">    ,</v>
      </c>
      <c r="B181" s="412" t="str">
        <f>IF(OR('WIN LAYERS'!$C16="",'WIN LAYERS'!$E16="Simple"),"","! Front Side Infrared Hemispherical Emissivity")</f>
        <v>! Front Side Infrared Hemispherical Emissivity</v>
      </c>
    </row>
    <row r="182" spans="1:2">
      <c r="A182" s="412" t="str">
        <f>IF(OR('WIN LAYERS'!$C16="",'WIN LAYERS'!$E16="Simple"),"","    "&amp;'WIN LAYERS'!$S16&amp;",")</f>
        <v xml:space="preserve">    ,</v>
      </c>
      <c r="B182" s="412" t="str">
        <f>IF(OR('WIN LAYERS'!$C16="",'WIN LAYERS'!$E16="Simple"),"","! Back Side Infrared Hemispherical Emissivity")</f>
        <v>! Back Side Infrared Hemispherical Emissivity</v>
      </c>
    </row>
    <row r="183" spans="1:2">
      <c r="A183" s="412" t="str">
        <f>IF(OR('WIN LAYERS'!$C16="",'WIN LAYERS'!$E16="Simple"),"","    "&amp;'WIN LAYERS'!$T16&amp;",")</f>
        <v xml:space="preserve">    ,</v>
      </c>
      <c r="B183" s="412" t="str">
        <f>IF(OR('WIN LAYERS'!$C16="",'WIN LAYERS'!$E16="Simple"),"","! Conductivity")</f>
        <v>! Conductivity</v>
      </c>
    </row>
    <row r="184" spans="1:2">
      <c r="A184" s="416" t="str">
        <f>IF(OR('WIN LAYERS'!$C16="",'WIN LAYERS'!$E16="Simple"),"","    "&amp;'WIN LAYERS'!$U16&amp;",")</f>
        <v xml:space="preserve">    ,</v>
      </c>
      <c r="B184" s="412" t="str">
        <f>IF(OR('WIN LAYERS'!$C16="",'WIN LAYERS'!$E16="Simple"),"","! Dirt Correction Factor for Solar and Visible Transmittance")</f>
        <v>! Dirt Correction Factor for Solar and Visible Transmittance</v>
      </c>
    </row>
    <row r="185" spans="1:2">
      <c r="A185" s="412" t="str">
        <f>IF(OR('WIN LAYERS'!$C16="",'WIN LAYERS'!$E16="Simple"),"","    "&amp;'WIN LAYERS'!$V16&amp;";")</f>
        <v xml:space="preserve">    ;</v>
      </c>
      <c r="B185" s="412" t="str">
        <f>IF(OR('WIN LAYERS'!$C16="",'WIN LAYERS'!$E16="Simple"),"","! Solar Diffusing? Translucent?")</f>
        <v>! Solar Diffusing? Translucent?</v>
      </c>
    </row>
    <row r="186" spans="1:2">
      <c r="A186" s="412"/>
      <c r="B186" s="412"/>
    </row>
    <row r="187" spans="1:2">
      <c r="A187" s="412" t="str">
        <f>IF('WIN LAYERS'!$C17="","",IF(OR('WIN LAYERS'!$E17="Simple",'WIN LAYERS'!$E17="Air"),"WindowMaterial:SimpleGlazingSystem,","WindowMaterial:Glazing,"))</f>
        <v>WindowMaterial:Glazing,</v>
      </c>
      <c r="B187" s="412" t="str">
        <f>IF('WIN LAYERS'!$C17="","","! User defined glazing material from GLAZING MATERIALS")</f>
        <v>! User defined glazing material from GLAZING MATERIALS</v>
      </c>
    </row>
    <row r="188" spans="1:2">
      <c r="A188" s="412" t="str">
        <f>IF('WIN LAYERS'!$C17="","","    Window Material "&amp;'WIN LAYERS'!$B17&amp;",")</f>
        <v xml:space="preserve">    Window Material 11,</v>
      </c>
      <c r="B188" s="412" t="str">
        <f>IF('WIN LAYERS'!$C17="","","!   spreadsheet under #/ID: "&amp;'WIN LAYERS'!$B17&amp;" and Name: "&amp;'WIN LAYERS'!$C17&amp;".")</f>
        <v>!   spreadsheet under #/ID: 11 and Name: KRYPTON 8MM.</v>
      </c>
    </row>
    <row r="189" spans="1:2">
      <c r="A189" s="412" t="str">
        <f>IF('WIN LAYERS'!$C17="","",IF('WIN LAYERS'!$E17="Simple","    "&amp;'WIN LAYERS'!$F17&amp;",",IF('WIN LAYERS'!$I17="","    SpectralAverage","    Spectral")))</f>
        <v xml:space="preserve">    SpectralAverage</v>
      </c>
      <c r="B189" s="412" t="str">
        <f>IF('WIN LAYERS'!$C17="","",IF('WIN LAYERS'!$E17="Simple","! U-value.","! Calculation Type - Average or Spectral Data Set."))</f>
        <v>! Calculation Type - Average or Spectral Data Set.</v>
      </c>
    </row>
    <row r="190" spans="1:2">
      <c r="A190" s="412" t="str">
        <f>IF('WIN LAYERS'!$C17="","",IF('WIN LAYERS'!$E17="Simple","    "&amp;'WIN LAYERS'!$G17&amp;",",IF($A19="SpectralAverage,","     "&amp;'WIN LAYERS'!$I17&amp;",","    "&amp;'WIN LAYERS'!$I17&amp;" ,")))</f>
        <v xml:space="preserve">     ,</v>
      </c>
      <c r="B190" s="412" t="str">
        <f>IF('WIN LAYERS'!$C17="","",IF('WIN LAYERS'!$E17="Simple","! SHGC.","! DataSet Name if Calc Type is Sprectral"))</f>
        <v>! DataSet Name if Calc Type is Sprectral</v>
      </c>
    </row>
    <row r="191" spans="1:2">
      <c r="A191" s="412" t="str">
        <f>IF('WIN LAYERS'!$C17="","",IF('WIN LAYERS'!$E17="Simple","    "&amp;'WIN LAYERS'!$H17&amp;";","    "&amp;'WIN LAYERS'!$J17/1000&amp;","))</f>
        <v xml:space="preserve">    0.0079,</v>
      </c>
      <c r="B191" s="412" t="str">
        <f>IF('WIN LAYERS'!$C17="","",IF('WIN LAYERS'!$E17="Simple","! Visible Transmittance","! Thickness"))</f>
        <v>! Thickness</v>
      </c>
    </row>
    <row r="192" spans="1:2">
      <c r="A192" s="412" t="str">
        <f>IF('WIN LAYERS'!$C17="","",IF('WIN LAYERS'!$E17="Simple","","    "&amp;'WIN LAYERS'!$K17&amp;","))</f>
        <v xml:space="preserve">    ,</v>
      </c>
      <c r="B192" s="412" t="str">
        <f>IF(OR('WIN LAYERS'!$C17="",'WIN LAYERS'!$E17="Simple"),"","! Solar Transmittance at Normal Incidence")</f>
        <v>! Solar Transmittance at Normal Incidence</v>
      </c>
    </row>
    <row r="193" spans="1:2">
      <c r="A193" s="412" t="str">
        <f>IF(OR('WIN LAYERS'!$C17="",'WIN LAYERS'!$E17="Simple"),"","    "&amp;'WIN LAYERS'!$L17&amp;",")</f>
        <v xml:space="preserve">    ,</v>
      </c>
      <c r="B193" s="412" t="str">
        <f>IF(OR('WIN LAYERS'!$C17="",'WIN LAYERS'!$E17="Simple"),"","! Front Side Solar Reflectance at Normal Incidence")</f>
        <v>! Front Side Solar Reflectance at Normal Incidence</v>
      </c>
    </row>
    <row r="194" spans="1:2">
      <c r="A194" s="412" t="str">
        <f>IF(OR('WIN LAYERS'!$C17="",'WIN LAYERS'!$E17="Simple"),"","    "&amp;'WIN LAYERS'!$M17&amp;",")</f>
        <v xml:space="preserve">    ,</v>
      </c>
      <c r="B194" s="412" t="str">
        <f>IF(OR('WIN LAYERS'!$C17="",'WIN LAYERS'!$E17="Simple"),"","! Back Side Solar Reflectance at Normal Incidence")</f>
        <v>! Back Side Solar Reflectance at Normal Incidence</v>
      </c>
    </row>
    <row r="195" spans="1:2">
      <c r="A195" s="412" t="str">
        <f>IF(OR('WIN LAYERS'!$C17="",'WIN LAYERS'!$E17="Simple"),"","    "&amp;'WIN LAYERS'!$N17&amp;",")</f>
        <v xml:space="preserve">    ,</v>
      </c>
      <c r="B195" s="412" t="str">
        <f>IF(OR('WIN LAYERS'!$C17="",'WIN LAYERS'!$E17="Simple"),"","! Visible Transmittance at Normal Incidence")</f>
        <v>! Visible Transmittance at Normal Incidence</v>
      </c>
    </row>
    <row r="196" spans="1:2">
      <c r="A196" s="412" t="str">
        <f>IF(OR('WIN LAYERS'!$C17="",'WIN LAYERS'!$E17="Simple"),"","    "&amp;'WIN LAYERS'!$O17&amp;",")</f>
        <v xml:space="preserve">    ,</v>
      </c>
      <c r="B196" s="412" t="str">
        <f>IF(OR('WIN LAYERS'!$C17="",'WIN LAYERS'!$E17="Simple"),"","! Front Side Visible Reflectance at Normal Incidence")</f>
        <v>! Front Side Visible Reflectance at Normal Incidence</v>
      </c>
    </row>
    <row r="197" spans="1:2">
      <c r="A197" s="412" t="str">
        <f>IF(OR('WIN LAYERS'!$C17="",'WIN LAYERS'!$E17="Simple"),"","    "&amp;'WIN LAYERS'!$P17&amp;",")</f>
        <v xml:space="preserve">    ,</v>
      </c>
      <c r="B197" s="412" t="str">
        <f>IF(OR('WIN LAYERS'!$C17="",'WIN LAYERS'!$E17="Simple"),"","! Back Side Visible Reflectance at Normal Incidence")</f>
        <v>! Back Side Visible Reflectance at Normal Incidence</v>
      </c>
    </row>
    <row r="198" spans="1:2">
      <c r="A198" s="412" t="str">
        <f>IF(OR('WIN LAYERS'!$C17="",'WIN LAYERS'!$E17="Simple"),"","    "&amp;'WIN LAYERS'!$Q17&amp;",")</f>
        <v xml:space="preserve">    ,</v>
      </c>
      <c r="B198" s="412" t="str">
        <f>IF(OR('WIN LAYERS'!$C17="",'WIN LAYERS'!$E17="Simple"),"","! Infrared Transmittance at Normal Incidence")</f>
        <v>! Infrared Transmittance at Normal Incidence</v>
      </c>
    </row>
    <row r="199" spans="1:2">
      <c r="A199" s="412" t="str">
        <f>IF(OR('WIN LAYERS'!$C17="",'WIN LAYERS'!$E17="Simple"),"","    "&amp;'WIN LAYERS'!$R17&amp;",")</f>
        <v xml:space="preserve">    ,</v>
      </c>
      <c r="B199" s="412" t="str">
        <f>IF(OR('WIN LAYERS'!$C17="",'WIN LAYERS'!$E17="Simple"),"","! Front Side Infrared Hemispherical Emissivity")</f>
        <v>! Front Side Infrared Hemispherical Emissivity</v>
      </c>
    </row>
    <row r="200" spans="1:2">
      <c r="A200" s="412" t="str">
        <f>IF(OR('WIN LAYERS'!$C17="",'WIN LAYERS'!$E17="Simple"),"","    "&amp;'WIN LAYERS'!$S17&amp;",")</f>
        <v xml:space="preserve">    ,</v>
      </c>
      <c r="B200" s="412" t="str">
        <f>IF(OR('WIN LAYERS'!$C17="",'WIN LAYERS'!$E17="Simple"),"","! Back Side Infrared Hemispherical Emissivity")</f>
        <v>! Back Side Infrared Hemispherical Emissivity</v>
      </c>
    </row>
    <row r="201" spans="1:2">
      <c r="A201" s="412" t="str">
        <f>IF(OR('WIN LAYERS'!$C17="",'WIN LAYERS'!$E17="Simple"),"","    "&amp;'WIN LAYERS'!$T17&amp;",")</f>
        <v xml:space="preserve">    ,</v>
      </c>
      <c r="B201" s="412" t="str">
        <f>IF(OR('WIN LAYERS'!$C17="",'WIN LAYERS'!$E17="Simple"),"","! Conductivity")</f>
        <v>! Conductivity</v>
      </c>
    </row>
    <row r="202" spans="1:2">
      <c r="A202" s="416" t="str">
        <f>IF(OR('WIN LAYERS'!$C17="",'WIN LAYERS'!$E17="Simple"),"","    "&amp;'WIN LAYERS'!$U17&amp;",")</f>
        <v xml:space="preserve">    ,</v>
      </c>
      <c r="B202" s="412" t="str">
        <f>IF(OR('WIN LAYERS'!$C17="",'WIN LAYERS'!$E17="Simple"),"","! Dirt Correction Factor for Solar and Visible Transmittance")</f>
        <v>! Dirt Correction Factor for Solar and Visible Transmittance</v>
      </c>
    </row>
    <row r="203" spans="1:2">
      <c r="A203" s="412" t="str">
        <f>IF(OR('WIN LAYERS'!$C17="",'WIN LAYERS'!$E17="Simple"),"","    "&amp;'WIN LAYERS'!$V17&amp;";")</f>
        <v xml:space="preserve">    ;</v>
      </c>
      <c r="B203" s="412" t="str">
        <f>IF(OR('WIN LAYERS'!$C17="",'WIN LAYERS'!$E17="Simple"),"","! Solar Diffusing? Translucent?")</f>
        <v>! Solar Diffusing? Translucent?</v>
      </c>
    </row>
    <row r="204" spans="1:2">
      <c r="A204" s="412"/>
      <c r="B204" s="412"/>
    </row>
    <row r="205" spans="1:2">
      <c r="A205" s="412" t="str">
        <f>IF('WIN LAYERS'!$C18="","",IF(OR('WIN LAYERS'!$E18="Simple",'WIN LAYERS'!$E18="Air"),"WindowMaterial:SimpleGlazingSystem,","WindowMaterial:Glazing,"))</f>
        <v>WindowMaterial:Glazing,</v>
      </c>
      <c r="B205" s="412" t="str">
        <f>IF('WIN LAYERS'!$C18="","","! User defined glazing material from GLAZING MATERIALS")</f>
        <v>! User defined glazing material from GLAZING MATERIALS</v>
      </c>
    </row>
    <row r="206" spans="1:2">
      <c r="A206" s="412" t="str">
        <f>IF('WIN LAYERS'!$C18="","","    Window Material "&amp;'WIN LAYERS'!$B18&amp;",")</f>
        <v xml:space="preserve">    Window Material 12,</v>
      </c>
      <c r="B206" s="412" t="str">
        <f>IF('WIN LAYERS'!$C18="","","!   spreadsheet under #/ID: "&amp;'WIN LAYERS'!$B18&amp;" and Name: "&amp;'WIN LAYERS'!$C18&amp;".")</f>
        <v>!   spreadsheet under #/ID: 12 and Name: KRYPTON 13MM.</v>
      </c>
    </row>
    <row r="207" spans="1:2">
      <c r="A207" s="412" t="str">
        <f>IF('WIN LAYERS'!$C18="","",IF('WIN LAYERS'!$E18="Simple","    "&amp;'WIN LAYERS'!$F18&amp;",",IF('WIN LAYERS'!$I18="","    SpectralAverage","    Spectral")))</f>
        <v xml:space="preserve">    SpectralAverage</v>
      </c>
      <c r="B207" s="412" t="str">
        <f>IF('WIN LAYERS'!$C18="","",IF('WIN LAYERS'!$E18="Simple","! U-value.","! Calculation Type - Average or Spectral Data Set."))</f>
        <v>! Calculation Type - Average or Spectral Data Set.</v>
      </c>
    </row>
    <row r="208" spans="1:2">
      <c r="A208" s="412" t="str">
        <f>IF('WIN LAYERS'!$C18="","",IF('WIN LAYERS'!$E18="Simple","    "&amp;'WIN LAYERS'!$G18&amp;",",IF($A20="SpectralAverage,","     "&amp;'WIN LAYERS'!$I18&amp;",","    "&amp;'WIN LAYERS'!$I18&amp;" ,")))</f>
        <v xml:space="preserve">     ,</v>
      </c>
      <c r="B208" s="412" t="str">
        <f>IF('WIN LAYERS'!$C18="","",IF('WIN LAYERS'!$E18="Simple","! SHGC.","! DataSet Name if Calc Type is Sprectral"))</f>
        <v>! DataSet Name if Calc Type is Sprectral</v>
      </c>
    </row>
    <row r="209" spans="1:2">
      <c r="A209" s="412" t="str">
        <f>IF('WIN LAYERS'!$C18="","",IF('WIN LAYERS'!$E18="Simple","    "&amp;'WIN LAYERS'!$H18&amp;";","    "&amp;'WIN LAYERS'!$J18/1000&amp;","))</f>
        <v xml:space="preserve">    0.0127,</v>
      </c>
      <c r="B209" s="412" t="str">
        <f>IF('WIN LAYERS'!$C18="","",IF('WIN LAYERS'!$E18="Simple","! Visible Transmittance","! Thickness"))</f>
        <v>! Thickness</v>
      </c>
    </row>
    <row r="210" spans="1:2">
      <c r="A210" s="412" t="str">
        <f>IF('WIN LAYERS'!$C18="","",IF('WIN LAYERS'!$E18="Simple","","    "&amp;'WIN LAYERS'!$K18&amp;","))</f>
        <v xml:space="preserve">    ,</v>
      </c>
      <c r="B210" s="412" t="str">
        <f>IF(OR('WIN LAYERS'!$C18="",'WIN LAYERS'!$E18="Simple"),"","! Solar Transmittance at Normal Incidence")</f>
        <v>! Solar Transmittance at Normal Incidence</v>
      </c>
    </row>
    <row r="211" spans="1:2">
      <c r="A211" s="412" t="str">
        <f>IF(OR('WIN LAYERS'!$C18="",'WIN LAYERS'!$E18="Simple"),"","    "&amp;'WIN LAYERS'!$L18&amp;",")</f>
        <v xml:space="preserve">    ,</v>
      </c>
      <c r="B211" s="412" t="str">
        <f>IF(OR('WIN LAYERS'!$C18="",'WIN LAYERS'!$E18="Simple"),"","! Front Side Solar Reflectance at Normal Incidence")</f>
        <v>! Front Side Solar Reflectance at Normal Incidence</v>
      </c>
    </row>
    <row r="212" spans="1:2">
      <c r="A212" s="412" t="str">
        <f>IF(OR('WIN LAYERS'!$C18="",'WIN LAYERS'!$E18="Simple"),"","    "&amp;'WIN LAYERS'!$M18&amp;",")</f>
        <v xml:space="preserve">    ,</v>
      </c>
      <c r="B212" s="412" t="str">
        <f>IF(OR('WIN LAYERS'!$C18="",'WIN LAYERS'!$E18="Simple"),"","! Back Side Solar Reflectance at Normal Incidence")</f>
        <v>! Back Side Solar Reflectance at Normal Incidence</v>
      </c>
    </row>
    <row r="213" spans="1:2">
      <c r="A213" s="412" t="str">
        <f>IF(OR('WIN LAYERS'!$C18="",'WIN LAYERS'!$E18="Simple"),"","    "&amp;'WIN LAYERS'!$N18&amp;",")</f>
        <v xml:space="preserve">    ,</v>
      </c>
      <c r="B213" s="412" t="str">
        <f>IF(OR('WIN LAYERS'!$C18="",'WIN LAYERS'!$E18="Simple"),"","! Visible Transmittance at Normal Incidence")</f>
        <v>! Visible Transmittance at Normal Incidence</v>
      </c>
    </row>
    <row r="214" spans="1:2">
      <c r="A214" s="412" t="str">
        <f>IF(OR('WIN LAYERS'!$C18="",'WIN LAYERS'!$E18="Simple"),"","    "&amp;'WIN LAYERS'!$O18&amp;",")</f>
        <v xml:space="preserve">    ,</v>
      </c>
      <c r="B214" s="412" t="str">
        <f>IF(OR('WIN LAYERS'!$C18="",'WIN LAYERS'!$E18="Simple"),"","! Front Side Visible Reflectance at Normal Incidence")</f>
        <v>! Front Side Visible Reflectance at Normal Incidence</v>
      </c>
    </row>
    <row r="215" spans="1:2">
      <c r="A215" s="412" t="str">
        <f>IF(OR('WIN LAYERS'!$C18="",'WIN LAYERS'!$E18="Simple"),"","    "&amp;'WIN LAYERS'!$P18&amp;",")</f>
        <v xml:space="preserve">    ,</v>
      </c>
      <c r="B215" s="412" t="str">
        <f>IF(OR('WIN LAYERS'!$C18="",'WIN LAYERS'!$E18="Simple"),"","! Back Side Visible Reflectance at Normal Incidence")</f>
        <v>! Back Side Visible Reflectance at Normal Incidence</v>
      </c>
    </row>
    <row r="216" spans="1:2">
      <c r="A216" s="412" t="str">
        <f>IF(OR('WIN LAYERS'!$C18="",'WIN LAYERS'!$E18="Simple"),"","    "&amp;'WIN LAYERS'!$Q18&amp;",")</f>
        <v xml:space="preserve">    ,</v>
      </c>
      <c r="B216" s="412" t="str">
        <f>IF(OR('WIN LAYERS'!$C18="",'WIN LAYERS'!$E18="Simple"),"","! Infrared Transmittance at Normal Incidence")</f>
        <v>! Infrared Transmittance at Normal Incidence</v>
      </c>
    </row>
    <row r="217" spans="1:2">
      <c r="A217" s="412" t="str">
        <f>IF(OR('WIN LAYERS'!$C18="",'WIN LAYERS'!$E18="Simple"),"","    "&amp;'WIN LAYERS'!$R18&amp;",")</f>
        <v xml:space="preserve">    ,</v>
      </c>
      <c r="B217" s="412" t="str">
        <f>IF(OR('WIN LAYERS'!$C18="",'WIN LAYERS'!$E18="Simple"),"","! Front Side Infrared Hemispherical Emissivity")</f>
        <v>! Front Side Infrared Hemispherical Emissivity</v>
      </c>
    </row>
    <row r="218" spans="1:2">
      <c r="A218" s="412" t="str">
        <f>IF(OR('WIN LAYERS'!$C18="",'WIN LAYERS'!$E18="Simple"),"","    "&amp;'WIN LAYERS'!$S18&amp;",")</f>
        <v xml:space="preserve">    ,</v>
      </c>
      <c r="B218" s="412" t="str">
        <f>IF(OR('WIN LAYERS'!$C18="",'WIN LAYERS'!$E18="Simple"),"","! Back Side Infrared Hemispherical Emissivity")</f>
        <v>! Back Side Infrared Hemispherical Emissivity</v>
      </c>
    </row>
    <row r="219" spans="1:2">
      <c r="A219" s="412" t="str">
        <f>IF(OR('WIN LAYERS'!$C18="",'WIN LAYERS'!$E18="Simple"),"","    "&amp;'WIN LAYERS'!$T18&amp;",")</f>
        <v xml:space="preserve">    ,</v>
      </c>
      <c r="B219" s="412" t="str">
        <f>IF(OR('WIN LAYERS'!$C18="",'WIN LAYERS'!$E18="Simple"),"","! Conductivity")</f>
        <v>! Conductivity</v>
      </c>
    </row>
    <row r="220" spans="1:2">
      <c r="A220" s="416" t="str">
        <f>IF(OR('WIN LAYERS'!$C18="",'WIN LAYERS'!$E18="Simple"),"","    "&amp;'WIN LAYERS'!$U18&amp;",")</f>
        <v xml:space="preserve">    ,</v>
      </c>
      <c r="B220" s="412" t="str">
        <f>IF(OR('WIN LAYERS'!$C18="",'WIN LAYERS'!$E18="Simple"),"","! Dirt Correction Factor for Solar and Visible Transmittance")</f>
        <v>! Dirt Correction Factor for Solar and Visible Transmittance</v>
      </c>
    </row>
    <row r="221" spans="1:2">
      <c r="A221" s="412" t="str">
        <f>IF(OR('WIN LAYERS'!$C18="",'WIN LAYERS'!$E18="Simple"),"","    "&amp;'WIN LAYERS'!$V18&amp;";")</f>
        <v xml:space="preserve">    ;</v>
      </c>
      <c r="B221" s="412" t="str">
        <f>IF(OR('WIN LAYERS'!$C18="",'WIN LAYERS'!$E18="Simple"),"","! Solar Diffusing? Translucent?")</f>
        <v>! Solar Diffusing? Translucent?</v>
      </c>
    </row>
    <row r="222" spans="1:2">
      <c r="A222" s="412"/>
      <c r="B222" s="412"/>
    </row>
    <row r="223" spans="1:2">
      <c r="A223" s="412" t="str">
        <f>IF('WIN LAYERS'!$C19="","",IF(OR('WIN LAYERS'!$E19="Simple",'WIN LAYERS'!$E19="Air"),"WindowMaterial:SimpleGlazingSystem,","WindowMaterial:Glazing,"))</f>
        <v>WindowMaterial:Glazing,</v>
      </c>
      <c r="B223" s="412" t="str">
        <f>IF('WIN LAYERS'!$C19="","","! User defined glazing material from GLAZING MATERIALS")</f>
        <v>! User defined glazing material from GLAZING MATERIALS</v>
      </c>
    </row>
    <row r="224" spans="1:2">
      <c r="A224" s="412" t="str">
        <f>IF('WIN LAYERS'!$C19="","","    Window Material "&amp;'WIN LAYERS'!$B19&amp;",")</f>
        <v xml:space="preserve">    Window Material 13,</v>
      </c>
      <c r="B224" s="412" t="str">
        <f>IF('WIN LAYERS'!$C19="","","!   spreadsheet under #/ID: "&amp;'WIN LAYERS'!$B19&amp;" and Name: "&amp;'WIN LAYERS'!$C19&amp;".")</f>
        <v>!   spreadsheet under #/ID: 13 and Name: XENON 3MM.</v>
      </c>
    </row>
    <row r="225" spans="1:2">
      <c r="A225" s="412" t="str">
        <f>IF('WIN LAYERS'!$C19="","",IF('WIN LAYERS'!$E19="Simple","    "&amp;'WIN LAYERS'!$F19&amp;",",IF('WIN LAYERS'!$I19="","    SpectralAverage","    Spectral")))</f>
        <v xml:space="preserve">    SpectralAverage</v>
      </c>
      <c r="B225" s="412" t="str">
        <f>IF('WIN LAYERS'!$C19="","",IF('WIN LAYERS'!$E19="Simple","! U-value.","! Calculation Type - Average or Spectral Data Set."))</f>
        <v>! Calculation Type - Average or Spectral Data Set.</v>
      </c>
    </row>
    <row r="226" spans="1:2">
      <c r="A226" s="412" t="str">
        <f>IF('WIN LAYERS'!$C19="","",IF('WIN LAYERS'!$E19="Simple","    "&amp;'WIN LAYERS'!$G19&amp;",",IF($A21="SpectralAverage,","     "&amp;'WIN LAYERS'!$I19&amp;",","    "&amp;'WIN LAYERS'!$I19&amp;" ,")))</f>
        <v xml:space="preserve">     ,</v>
      </c>
      <c r="B226" s="412" t="str">
        <f>IF('WIN LAYERS'!$C19="","",IF('WIN LAYERS'!$E19="Simple","! SHGC.","! DataSet Name if Calc Type is Sprectral"))</f>
        <v>! DataSet Name if Calc Type is Sprectral</v>
      </c>
    </row>
    <row r="227" spans="1:2">
      <c r="A227" s="412" t="str">
        <f>IF('WIN LAYERS'!$C19="","",IF('WIN LAYERS'!$E19="Simple","    "&amp;'WIN LAYERS'!$H19&amp;";","    "&amp;'WIN LAYERS'!$J19/1000&amp;","))</f>
        <v xml:space="preserve">    0.0032,</v>
      </c>
      <c r="B227" s="412" t="str">
        <f>IF('WIN LAYERS'!$C19="","",IF('WIN LAYERS'!$E19="Simple","! Visible Transmittance","! Thickness"))</f>
        <v>! Thickness</v>
      </c>
    </row>
    <row r="228" spans="1:2">
      <c r="A228" s="412" t="str">
        <f>IF('WIN LAYERS'!$C19="","",IF('WIN LAYERS'!$E19="Simple","","    "&amp;'WIN LAYERS'!$K19&amp;","))</f>
        <v xml:space="preserve">    ,</v>
      </c>
      <c r="B228" s="412" t="str">
        <f>IF(OR('WIN LAYERS'!$C19="",'WIN LAYERS'!$E19="Simple"),"","! Solar Transmittance at Normal Incidence")</f>
        <v>! Solar Transmittance at Normal Incidence</v>
      </c>
    </row>
    <row r="229" spans="1:2">
      <c r="A229" s="412" t="str">
        <f>IF(OR('WIN LAYERS'!$C19="",'WIN LAYERS'!$E19="Simple"),"","    "&amp;'WIN LAYERS'!$L19&amp;",")</f>
        <v xml:space="preserve">    ,</v>
      </c>
      <c r="B229" s="412" t="str">
        <f>IF(OR('WIN LAYERS'!$C19="",'WIN LAYERS'!$E19="Simple"),"","! Front Side Solar Reflectance at Normal Incidence")</f>
        <v>! Front Side Solar Reflectance at Normal Incidence</v>
      </c>
    </row>
    <row r="230" spans="1:2">
      <c r="A230" s="412" t="str">
        <f>IF(OR('WIN LAYERS'!$C19="",'WIN LAYERS'!$E19="Simple"),"","    "&amp;'WIN LAYERS'!$M19&amp;",")</f>
        <v xml:space="preserve">    ,</v>
      </c>
      <c r="B230" s="412" t="str">
        <f>IF(OR('WIN LAYERS'!$C19="",'WIN LAYERS'!$E19="Simple"),"","! Back Side Solar Reflectance at Normal Incidence")</f>
        <v>! Back Side Solar Reflectance at Normal Incidence</v>
      </c>
    </row>
    <row r="231" spans="1:2">
      <c r="A231" s="412" t="str">
        <f>IF(OR('WIN LAYERS'!$C19="",'WIN LAYERS'!$E19="Simple"),"","    "&amp;'WIN LAYERS'!$N19&amp;",")</f>
        <v xml:space="preserve">    ,</v>
      </c>
      <c r="B231" s="412" t="str">
        <f>IF(OR('WIN LAYERS'!$C19="",'WIN LAYERS'!$E19="Simple"),"","! Visible Transmittance at Normal Incidence")</f>
        <v>! Visible Transmittance at Normal Incidence</v>
      </c>
    </row>
    <row r="232" spans="1:2">
      <c r="A232" s="412" t="str">
        <f>IF(OR('WIN LAYERS'!$C19="",'WIN LAYERS'!$E19="Simple"),"","    "&amp;'WIN LAYERS'!$O19&amp;",")</f>
        <v xml:space="preserve">    ,</v>
      </c>
      <c r="B232" s="412" t="str">
        <f>IF(OR('WIN LAYERS'!$C19="",'WIN LAYERS'!$E19="Simple"),"","! Front Side Visible Reflectance at Normal Incidence")</f>
        <v>! Front Side Visible Reflectance at Normal Incidence</v>
      </c>
    </row>
    <row r="233" spans="1:2">
      <c r="A233" s="412" t="str">
        <f>IF(OR('WIN LAYERS'!$C19="",'WIN LAYERS'!$E19="Simple"),"","    "&amp;'WIN LAYERS'!$P19&amp;",")</f>
        <v xml:space="preserve">    ,</v>
      </c>
      <c r="B233" s="412" t="str">
        <f>IF(OR('WIN LAYERS'!$C19="",'WIN LAYERS'!$E19="Simple"),"","! Back Side Visible Reflectance at Normal Incidence")</f>
        <v>! Back Side Visible Reflectance at Normal Incidence</v>
      </c>
    </row>
    <row r="234" spans="1:2">
      <c r="A234" s="412" t="str">
        <f>IF(OR('WIN LAYERS'!$C19="",'WIN LAYERS'!$E19="Simple"),"","    "&amp;'WIN LAYERS'!$Q19&amp;",")</f>
        <v xml:space="preserve">    ,</v>
      </c>
      <c r="B234" s="412" t="str">
        <f>IF(OR('WIN LAYERS'!$C19="",'WIN LAYERS'!$E19="Simple"),"","! Infrared Transmittance at Normal Incidence")</f>
        <v>! Infrared Transmittance at Normal Incidence</v>
      </c>
    </row>
    <row r="235" spans="1:2">
      <c r="A235" s="412" t="str">
        <f>IF(OR('WIN LAYERS'!$C19="",'WIN LAYERS'!$E19="Simple"),"","    "&amp;'WIN LAYERS'!$R19&amp;",")</f>
        <v xml:space="preserve">    ,</v>
      </c>
      <c r="B235" s="412" t="str">
        <f>IF(OR('WIN LAYERS'!$C19="",'WIN LAYERS'!$E19="Simple"),"","! Front Side Infrared Hemispherical Emissivity")</f>
        <v>! Front Side Infrared Hemispherical Emissivity</v>
      </c>
    </row>
    <row r="236" spans="1:2">
      <c r="A236" s="412" t="str">
        <f>IF(OR('WIN LAYERS'!$C19="",'WIN LAYERS'!$E19="Simple"),"","    "&amp;'WIN LAYERS'!$S19&amp;",")</f>
        <v xml:space="preserve">    ,</v>
      </c>
      <c r="B236" s="412" t="str">
        <f>IF(OR('WIN LAYERS'!$C19="",'WIN LAYERS'!$E19="Simple"),"","! Back Side Infrared Hemispherical Emissivity")</f>
        <v>! Back Side Infrared Hemispherical Emissivity</v>
      </c>
    </row>
    <row r="237" spans="1:2">
      <c r="A237" s="412" t="str">
        <f>IF(OR('WIN LAYERS'!$C19="",'WIN LAYERS'!$E19="Simple"),"","    "&amp;'WIN LAYERS'!$T19&amp;",")</f>
        <v xml:space="preserve">    ,</v>
      </c>
      <c r="B237" s="412" t="str">
        <f>IF(OR('WIN LAYERS'!$C19="",'WIN LAYERS'!$E19="Simple"),"","! Conductivity")</f>
        <v>! Conductivity</v>
      </c>
    </row>
    <row r="238" spans="1:2">
      <c r="A238" s="416" t="str">
        <f>IF(OR('WIN LAYERS'!$C19="",'WIN LAYERS'!$E19="Simple"),"","    "&amp;'WIN LAYERS'!$U19&amp;",")</f>
        <v xml:space="preserve">    ,</v>
      </c>
      <c r="B238" s="412" t="str">
        <f>IF(OR('WIN LAYERS'!$C19="",'WIN LAYERS'!$E19="Simple"),"","! Dirt Correction Factor for Solar and Visible Transmittance")</f>
        <v>! Dirt Correction Factor for Solar and Visible Transmittance</v>
      </c>
    </row>
    <row r="239" spans="1:2">
      <c r="A239" s="412" t="str">
        <f>IF(OR('WIN LAYERS'!$C19="",'WIN LAYERS'!$E19="Simple"),"","    "&amp;'WIN LAYERS'!$V19&amp;";")</f>
        <v xml:space="preserve">    ;</v>
      </c>
      <c r="B239" s="412" t="str">
        <f>IF(OR('WIN LAYERS'!$C19="",'WIN LAYERS'!$E19="Simple"),"","! Solar Diffusing? Translucent?")</f>
        <v>! Solar Diffusing? Translucent?</v>
      </c>
    </row>
    <row r="241" spans="1:2">
      <c r="A241" s="412" t="str">
        <f>IF('WIN LAYERS'!$C20="","",IF(OR('WIN LAYERS'!$E20="Simple",'WIN LAYERS'!$E20="Air"),"WindowMaterial:SimpleGlazingSystem,","WindowMaterial:Glazing,"))</f>
        <v>WindowMaterial:Glazing,</v>
      </c>
      <c r="B241" s="412" t="str">
        <f>IF('WIN LAYERS'!$C20="","","! User defined glazing material from GLAZING MATERIALS")</f>
        <v>! User defined glazing material from GLAZING MATERIALS</v>
      </c>
    </row>
    <row r="242" spans="1:2">
      <c r="A242" s="412" t="str">
        <f>IF('WIN LAYERS'!$C20="","","    Window Material "&amp;'WIN LAYERS'!$B20&amp;",")</f>
        <v xml:space="preserve">    Window Material 14,</v>
      </c>
      <c r="B242" s="412" t="str">
        <f>IF('WIN LAYERS'!$C20="","","!   spreadsheet under #/ID: "&amp;'WIN LAYERS'!$B20&amp;" and Name: "&amp;'WIN LAYERS'!$C20&amp;".")</f>
        <v>!   spreadsheet under #/ID: 14 and Name: XENON 6MM.</v>
      </c>
    </row>
    <row r="243" spans="1:2">
      <c r="A243" s="412" t="str">
        <f>IF('WIN LAYERS'!$C20="","",IF('WIN LAYERS'!$E20="Simple","    "&amp;'WIN LAYERS'!$F20&amp;",",IF('WIN LAYERS'!$I20="","    SpectralAverage","    Spectral")))</f>
        <v xml:space="preserve">    SpectralAverage</v>
      </c>
      <c r="B243" s="412" t="str">
        <f>IF('WIN LAYERS'!$C20="","",IF('WIN LAYERS'!$E20="Simple","! U-value.","! Calculation Type - Average or Spectral Data Set."))</f>
        <v>! Calculation Type - Average or Spectral Data Set.</v>
      </c>
    </row>
    <row r="244" spans="1:2">
      <c r="A244" s="412" t="str">
        <f>IF('WIN LAYERS'!$C20="","",IF('WIN LAYERS'!$E20="Simple","    "&amp;'WIN LAYERS'!$G20&amp;",",IF($A22="SpectralAverage,","     "&amp;'WIN LAYERS'!$I20&amp;",","    "&amp;'WIN LAYERS'!$I20&amp;" ,")))</f>
        <v xml:space="preserve">     ,</v>
      </c>
      <c r="B244" s="412" t="str">
        <f>IF('WIN LAYERS'!$C20="","",IF('WIN LAYERS'!$E20="Simple","! SHGC.","! DataSet Name if Calc Type is Sprectral"))</f>
        <v>! DataSet Name if Calc Type is Sprectral</v>
      </c>
    </row>
    <row r="245" spans="1:2">
      <c r="A245" s="412" t="str">
        <f>IF('WIN LAYERS'!$C20="","",IF('WIN LAYERS'!$E20="Simple","    "&amp;'WIN LAYERS'!$H20&amp;";","    "&amp;'WIN LAYERS'!$J20/1000&amp;","))</f>
        <v xml:space="preserve">    0.0063,</v>
      </c>
      <c r="B245" s="412" t="str">
        <f>IF('WIN LAYERS'!$C20="","",IF('WIN LAYERS'!$E20="Simple","! Visible Transmittance","! Thickness"))</f>
        <v>! Thickness</v>
      </c>
    </row>
    <row r="246" spans="1:2">
      <c r="A246" s="412" t="str">
        <f>IF('WIN LAYERS'!$C20="","",IF('WIN LAYERS'!$E20="Simple","","    "&amp;'WIN LAYERS'!$K20&amp;","))</f>
        <v xml:space="preserve">    ,</v>
      </c>
      <c r="B246" s="412" t="str">
        <f>IF(OR('WIN LAYERS'!$C20="",'WIN LAYERS'!$E20="Simple"),"","! Solar Transmittance at Normal Incidence")</f>
        <v>! Solar Transmittance at Normal Incidence</v>
      </c>
    </row>
    <row r="247" spans="1:2">
      <c r="A247" s="412" t="str">
        <f>IF(OR('WIN LAYERS'!$C20="",'WIN LAYERS'!$E20="Simple"),"","    "&amp;'WIN LAYERS'!$L20&amp;",")</f>
        <v xml:space="preserve">    ,</v>
      </c>
      <c r="B247" s="412" t="str">
        <f>IF(OR('WIN LAYERS'!$C20="",'WIN LAYERS'!$E20="Simple"),"","! Front Side Solar Reflectance at Normal Incidence")</f>
        <v>! Front Side Solar Reflectance at Normal Incidence</v>
      </c>
    </row>
    <row r="248" spans="1:2">
      <c r="A248" s="412" t="str">
        <f>IF(OR('WIN LAYERS'!$C20="",'WIN LAYERS'!$E20="Simple"),"","    "&amp;'WIN LAYERS'!$M20&amp;",")</f>
        <v xml:space="preserve">    ,</v>
      </c>
      <c r="B248" s="412" t="str">
        <f>IF(OR('WIN LAYERS'!$C20="",'WIN LAYERS'!$E20="Simple"),"","! Back Side Solar Reflectance at Normal Incidence")</f>
        <v>! Back Side Solar Reflectance at Normal Incidence</v>
      </c>
    </row>
    <row r="249" spans="1:2">
      <c r="A249" s="412" t="str">
        <f>IF(OR('WIN LAYERS'!$C20="",'WIN LAYERS'!$E20="Simple"),"","    "&amp;'WIN LAYERS'!$N20&amp;",")</f>
        <v xml:space="preserve">    ,</v>
      </c>
      <c r="B249" s="412" t="str">
        <f>IF(OR('WIN LAYERS'!$C20="",'WIN LAYERS'!$E20="Simple"),"","! Visible Transmittance at Normal Incidence")</f>
        <v>! Visible Transmittance at Normal Incidence</v>
      </c>
    </row>
    <row r="250" spans="1:2">
      <c r="A250" s="412" t="str">
        <f>IF(OR('WIN LAYERS'!$C20="",'WIN LAYERS'!$E20="Simple"),"","    "&amp;'WIN LAYERS'!$O20&amp;",")</f>
        <v xml:space="preserve">    ,</v>
      </c>
      <c r="B250" s="412" t="str">
        <f>IF(OR('WIN LAYERS'!$C20="",'WIN LAYERS'!$E20="Simple"),"","! Front Side Visible Reflectance at Normal Incidence")</f>
        <v>! Front Side Visible Reflectance at Normal Incidence</v>
      </c>
    </row>
    <row r="251" spans="1:2">
      <c r="A251" s="412" t="str">
        <f>IF(OR('WIN LAYERS'!$C20="",'WIN LAYERS'!$E20="Simple"),"","    "&amp;'WIN LAYERS'!$P20&amp;",")</f>
        <v xml:space="preserve">    ,</v>
      </c>
      <c r="B251" s="412" t="str">
        <f>IF(OR('WIN LAYERS'!$C20="",'WIN LAYERS'!$E20="Simple"),"","! Back Side Visible Reflectance at Normal Incidence")</f>
        <v>! Back Side Visible Reflectance at Normal Incidence</v>
      </c>
    </row>
    <row r="252" spans="1:2">
      <c r="A252" s="412" t="str">
        <f>IF(OR('WIN LAYERS'!$C20="",'WIN LAYERS'!$E20="Simple"),"","    "&amp;'WIN LAYERS'!$Q20&amp;",")</f>
        <v xml:space="preserve">    ,</v>
      </c>
      <c r="B252" s="412" t="str">
        <f>IF(OR('WIN LAYERS'!$C20="",'WIN LAYERS'!$E20="Simple"),"","! Infrared Transmittance at Normal Incidence")</f>
        <v>! Infrared Transmittance at Normal Incidence</v>
      </c>
    </row>
    <row r="253" spans="1:2">
      <c r="A253" s="412" t="str">
        <f>IF(OR('WIN LAYERS'!$C20="",'WIN LAYERS'!$E20="Simple"),"","    "&amp;'WIN LAYERS'!$R20&amp;",")</f>
        <v xml:space="preserve">    ,</v>
      </c>
      <c r="B253" s="412" t="str">
        <f>IF(OR('WIN LAYERS'!$C20="",'WIN LAYERS'!$E20="Simple"),"","! Front Side Infrared Hemispherical Emissivity")</f>
        <v>! Front Side Infrared Hemispherical Emissivity</v>
      </c>
    </row>
    <row r="254" spans="1:2">
      <c r="A254" s="412" t="str">
        <f>IF(OR('WIN LAYERS'!$C20="",'WIN LAYERS'!$E20="Simple"),"","    "&amp;'WIN LAYERS'!$S20&amp;",")</f>
        <v xml:space="preserve">    ,</v>
      </c>
      <c r="B254" s="412" t="str">
        <f>IF(OR('WIN LAYERS'!$C20="",'WIN LAYERS'!$E20="Simple"),"","! Back Side Infrared Hemispherical Emissivity")</f>
        <v>! Back Side Infrared Hemispherical Emissivity</v>
      </c>
    </row>
    <row r="255" spans="1:2">
      <c r="A255" s="412" t="str">
        <f>IF(OR('WIN LAYERS'!$C20="",'WIN LAYERS'!$E20="Simple"),"","    "&amp;'WIN LAYERS'!$T20&amp;",")</f>
        <v xml:space="preserve">    ,</v>
      </c>
      <c r="B255" s="412" t="str">
        <f>IF(OR('WIN LAYERS'!$C20="",'WIN LAYERS'!$E20="Simple"),"","! Conductivity")</f>
        <v>! Conductivity</v>
      </c>
    </row>
    <row r="256" spans="1:2">
      <c r="A256" s="416" t="str">
        <f>IF(OR('WIN LAYERS'!$C20="",'WIN LAYERS'!$E20="Simple"),"","    "&amp;'WIN LAYERS'!$U20&amp;",")</f>
        <v xml:space="preserve">    ,</v>
      </c>
      <c r="B256" s="412" t="str">
        <f>IF(OR('WIN LAYERS'!$C20="",'WIN LAYERS'!$E20="Simple"),"","! Dirt Correction Factor for Solar and Visible Transmittance")</f>
        <v>! Dirt Correction Factor for Solar and Visible Transmittance</v>
      </c>
    </row>
    <row r="257" spans="1:2">
      <c r="A257" s="412" t="str">
        <f>IF(OR('WIN LAYERS'!$C20="",'WIN LAYERS'!$E20="Simple"),"","    "&amp;'WIN LAYERS'!$V20&amp;";")</f>
        <v xml:space="preserve">    ;</v>
      </c>
      <c r="B257" s="412" t="str">
        <f>IF(OR('WIN LAYERS'!$C20="",'WIN LAYERS'!$E20="Simple"),"","! Solar Diffusing? Translucent?")</f>
        <v>! Solar Diffusing? Translucent?</v>
      </c>
    </row>
    <row r="258" spans="1:2">
      <c r="A258" s="412"/>
      <c r="B258" s="412"/>
    </row>
    <row r="259" spans="1:2">
      <c r="A259" s="412" t="str">
        <f>IF('WIN LAYERS'!$C21="","",IF(OR('WIN LAYERS'!$E21="Simple",'WIN LAYERS'!$E21="Air"),"WindowMaterial:SimpleGlazingSystem,","WindowMaterial:Glazing,"))</f>
        <v>WindowMaterial:Glazing,</v>
      </c>
      <c r="B259" s="412" t="str">
        <f>IF('WIN LAYERS'!$C21="","","! User defined glazing material from GLAZING MATERIALS")</f>
        <v>! User defined glazing material from GLAZING MATERIALS</v>
      </c>
    </row>
    <row r="260" spans="1:2">
      <c r="A260" s="412" t="str">
        <f>IF('WIN LAYERS'!$C21="","","    Window Material "&amp;'WIN LAYERS'!$B21&amp;",")</f>
        <v xml:space="preserve">    Window Material 15,</v>
      </c>
      <c r="B260" s="412" t="str">
        <f>IF('WIN LAYERS'!$C21="","","!   spreadsheet under #/ID: "&amp;'WIN LAYERS'!$B21&amp;" and Name: "&amp;'WIN LAYERS'!$C21&amp;".")</f>
        <v>!   spreadsheet under #/ID: 15 and Name: XENON 8MM.</v>
      </c>
    </row>
    <row r="261" spans="1:2">
      <c r="A261" s="412" t="str">
        <f>IF('WIN LAYERS'!$C21="","",IF('WIN LAYERS'!$E21="Simple","    "&amp;'WIN LAYERS'!$F21&amp;",",IF('WIN LAYERS'!$I21="","    SpectralAverage","    Spectral")))</f>
        <v xml:space="preserve">    SpectralAverage</v>
      </c>
      <c r="B261" s="412" t="str">
        <f>IF('WIN LAYERS'!$C21="","",IF('WIN LAYERS'!$E21="Simple","! U-value.","! Calculation Type - Average or Spectral Data Set."))</f>
        <v>! Calculation Type - Average or Spectral Data Set.</v>
      </c>
    </row>
    <row r="262" spans="1:2">
      <c r="A262" s="412" t="str">
        <f>IF('WIN LAYERS'!$C21="","",IF('WIN LAYERS'!$E21="Simple","    "&amp;'WIN LAYERS'!$G21&amp;",",IF($A23="SpectralAverage,","     "&amp;'WIN LAYERS'!$I21&amp;",","    "&amp;'WIN LAYERS'!$I21&amp;" ,")))</f>
        <v xml:space="preserve">     ,</v>
      </c>
      <c r="B262" s="412" t="str">
        <f>IF('WIN LAYERS'!$C21="","",IF('WIN LAYERS'!$E21="Simple","! SHGC.","! DataSet Name if Calc Type is Sprectral"))</f>
        <v>! DataSet Name if Calc Type is Sprectral</v>
      </c>
    </row>
    <row r="263" spans="1:2">
      <c r="A263" s="412" t="str">
        <f>IF('WIN LAYERS'!$C21="","",IF('WIN LAYERS'!$E21="Simple","    "&amp;'WIN LAYERS'!$H21&amp;";","    "&amp;'WIN LAYERS'!$J21/1000&amp;","))</f>
        <v xml:space="preserve">    0.0079,</v>
      </c>
      <c r="B263" s="412" t="str">
        <f>IF('WIN LAYERS'!$C21="","",IF('WIN LAYERS'!$E21="Simple","! Visible Transmittance","! Thickness"))</f>
        <v>! Thickness</v>
      </c>
    </row>
    <row r="264" spans="1:2">
      <c r="A264" s="412" t="str">
        <f>IF('WIN LAYERS'!$C21="","",IF('WIN LAYERS'!$E21="Simple","","    "&amp;'WIN LAYERS'!$K21&amp;","))</f>
        <v xml:space="preserve">    ,</v>
      </c>
      <c r="B264" s="412" t="str">
        <f>IF(OR('WIN LAYERS'!$C21="",'WIN LAYERS'!$E21="Simple"),"","! Solar Transmittance at Normal Incidence")</f>
        <v>! Solar Transmittance at Normal Incidence</v>
      </c>
    </row>
    <row r="265" spans="1:2">
      <c r="A265" s="412" t="str">
        <f>IF(OR('WIN LAYERS'!$C21="",'WIN LAYERS'!$E21="Simple"),"","    "&amp;'WIN LAYERS'!$L21&amp;",")</f>
        <v xml:space="preserve">    ,</v>
      </c>
      <c r="B265" s="412" t="str">
        <f>IF(OR('WIN LAYERS'!$C21="",'WIN LAYERS'!$E21="Simple"),"","! Front Side Solar Reflectance at Normal Incidence")</f>
        <v>! Front Side Solar Reflectance at Normal Incidence</v>
      </c>
    </row>
    <row r="266" spans="1:2">
      <c r="A266" s="412" t="str">
        <f>IF(OR('WIN LAYERS'!$C21="",'WIN LAYERS'!$E21="Simple"),"","    "&amp;'WIN LAYERS'!$M21&amp;",")</f>
        <v xml:space="preserve">    ,</v>
      </c>
      <c r="B266" s="412" t="str">
        <f>IF(OR('WIN LAYERS'!$C21="",'WIN LAYERS'!$E21="Simple"),"","! Back Side Solar Reflectance at Normal Incidence")</f>
        <v>! Back Side Solar Reflectance at Normal Incidence</v>
      </c>
    </row>
    <row r="267" spans="1:2">
      <c r="A267" s="412" t="str">
        <f>IF(OR('WIN LAYERS'!$C21="",'WIN LAYERS'!$E21="Simple"),"","    "&amp;'WIN LAYERS'!$N21&amp;",")</f>
        <v xml:space="preserve">    ,</v>
      </c>
      <c r="B267" s="412" t="str">
        <f>IF(OR('WIN LAYERS'!$C21="",'WIN LAYERS'!$E21="Simple"),"","! Visible Transmittance at Normal Incidence")</f>
        <v>! Visible Transmittance at Normal Incidence</v>
      </c>
    </row>
    <row r="268" spans="1:2">
      <c r="A268" s="412" t="str">
        <f>IF(OR('WIN LAYERS'!$C21="",'WIN LAYERS'!$E21="Simple"),"","    "&amp;'WIN LAYERS'!$O21&amp;",")</f>
        <v xml:space="preserve">    ,</v>
      </c>
      <c r="B268" s="412" t="str">
        <f>IF(OR('WIN LAYERS'!$C21="",'WIN LAYERS'!$E21="Simple"),"","! Front Side Visible Reflectance at Normal Incidence")</f>
        <v>! Front Side Visible Reflectance at Normal Incidence</v>
      </c>
    </row>
    <row r="269" spans="1:2">
      <c r="A269" s="412" t="str">
        <f>IF(OR('WIN LAYERS'!$C21="",'WIN LAYERS'!$E21="Simple"),"","    "&amp;'WIN LAYERS'!$P21&amp;",")</f>
        <v xml:space="preserve">    ,</v>
      </c>
      <c r="B269" s="412" t="str">
        <f>IF(OR('WIN LAYERS'!$C21="",'WIN LAYERS'!$E21="Simple"),"","! Back Side Visible Reflectance at Normal Incidence")</f>
        <v>! Back Side Visible Reflectance at Normal Incidence</v>
      </c>
    </row>
    <row r="270" spans="1:2">
      <c r="A270" s="412" t="str">
        <f>IF(OR('WIN LAYERS'!$C21="",'WIN LAYERS'!$E21="Simple"),"","    "&amp;'WIN LAYERS'!$Q21&amp;",")</f>
        <v xml:space="preserve">    ,</v>
      </c>
      <c r="B270" s="412" t="str">
        <f>IF(OR('WIN LAYERS'!$C21="",'WIN LAYERS'!$E21="Simple"),"","! Infrared Transmittance at Normal Incidence")</f>
        <v>! Infrared Transmittance at Normal Incidence</v>
      </c>
    </row>
    <row r="271" spans="1:2">
      <c r="A271" s="412" t="str">
        <f>IF(OR('WIN LAYERS'!$C21="",'WIN LAYERS'!$E21="Simple"),"","    "&amp;'WIN LAYERS'!$R21&amp;",")</f>
        <v xml:space="preserve">    ,</v>
      </c>
      <c r="B271" s="412" t="str">
        <f>IF(OR('WIN LAYERS'!$C21="",'WIN LAYERS'!$E21="Simple"),"","! Front Side Infrared Hemispherical Emissivity")</f>
        <v>! Front Side Infrared Hemispherical Emissivity</v>
      </c>
    </row>
    <row r="272" spans="1:2">
      <c r="A272" s="412" t="str">
        <f>IF(OR('WIN LAYERS'!$C21="",'WIN LAYERS'!$E21="Simple"),"","    "&amp;'WIN LAYERS'!$S21&amp;",")</f>
        <v xml:space="preserve">    ,</v>
      </c>
      <c r="B272" s="412" t="str">
        <f>IF(OR('WIN LAYERS'!$C21="",'WIN LAYERS'!$E21="Simple"),"","! Back Side Infrared Hemispherical Emissivity")</f>
        <v>! Back Side Infrared Hemispherical Emissivity</v>
      </c>
    </row>
    <row r="273" spans="1:2">
      <c r="A273" s="412" t="str">
        <f>IF(OR('WIN LAYERS'!$C21="",'WIN LAYERS'!$E21="Simple"),"","    "&amp;'WIN LAYERS'!$T21&amp;",")</f>
        <v xml:space="preserve">    ,</v>
      </c>
      <c r="B273" s="412" t="str">
        <f>IF(OR('WIN LAYERS'!$C21="",'WIN LAYERS'!$E21="Simple"),"","! Conductivity")</f>
        <v>! Conductivity</v>
      </c>
    </row>
    <row r="274" spans="1:2">
      <c r="A274" s="416" t="str">
        <f>IF(OR('WIN LAYERS'!$C21="",'WIN LAYERS'!$E21="Simple"),"","    "&amp;'WIN LAYERS'!$U21&amp;",")</f>
        <v xml:space="preserve">    ,</v>
      </c>
      <c r="B274" s="412" t="str">
        <f>IF(OR('WIN LAYERS'!$C21="",'WIN LAYERS'!$E21="Simple"),"","! Dirt Correction Factor for Solar and Visible Transmittance")</f>
        <v>! Dirt Correction Factor for Solar and Visible Transmittance</v>
      </c>
    </row>
    <row r="275" spans="1:2">
      <c r="A275" s="412" t="str">
        <f>IF(OR('WIN LAYERS'!$C21="",'WIN LAYERS'!$E21="Simple"),"","    "&amp;'WIN LAYERS'!$V21&amp;";")</f>
        <v xml:space="preserve">    ;</v>
      </c>
      <c r="B275" s="412" t="str">
        <f>IF(OR('WIN LAYERS'!$C21="",'WIN LAYERS'!$E21="Simple"),"","! Solar Diffusing? Translucent?")</f>
        <v>! Solar Diffusing? Translucent?</v>
      </c>
    </row>
    <row r="276" spans="1:2">
      <c r="A276" s="412"/>
      <c r="B276" s="412"/>
    </row>
    <row r="277" spans="1:2">
      <c r="A277" s="412" t="str">
        <f>IF('WIN LAYERS'!$C22="","",IF(OR('WIN LAYERS'!$E22="Simple",'WIN LAYERS'!$E22="Air"),"WindowMaterial:SimpleGlazingSystem,","WindowMaterial:Glazing,"))</f>
        <v>WindowMaterial:Glazing,</v>
      </c>
      <c r="B277" s="412" t="str">
        <f>IF('WIN LAYERS'!$C22="","","! User defined glazing material from GLAZING MATERIALS")</f>
        <v>! User defined glazing material from GLAZING MATERIALS</v>
      </c>
    </row>
    <row r="278" spans="1:2">
      <c r="A278" s="412" t="str">
        <f>IF('WIN LAYERS'!$C22="","","    Window Material "&amp;'WIN LAYERS'!$B22&amp;",")</f>
        <v xml:space="preserve">    Window Material 16,</v>
      </c>
      <c r="B278" s="412" t="str">
        <f>IF('WIN LAYERS'!$C22="","","!   spreadsheet under #/ID: "&amp;'WIN LAYERS'!$B22&amp;" and Name: "&amp;'WIN LAYERS'!$C22&amp;".")</f>
        <v>!   spreadsheet under #/ID: 16 and Name: XENON 13MM.</v>
      </c>
    </row>
    <row r="279" spans="1:2">
      <c r="A279" s="412" t="str">
        <f>IF('WIN LAYERS'!$C22="","",IF('WIN LAYERS'!$E22="Simple","    "&amp;'WIN LAYERS'!$F22&amp;",",IF('WIN LAYERS'!$I22="","    SpectralAverage","    Spectral")))</f>
        <v xml:space="preserve">    SpectralAverage</v>
      </c>
      <c r="B279" s="412" t="str">
        <f>IF('WIN LAYERS'!$C22="","",IF('WIN LAYERS'!$E22="Simple","! U-value.","! Calculation Type - Average or Spectral Data Set."))</f>
        <v>! Calculation Type - Average or Spectral Data Set.</v>
      </c>
    </row>
    <row r="280" spans="1:2">
      <c r="A280" s="412" t="str">
        <f>IF('WIN LAYERS'!$C22="","",IF('WIN LAYERS'!$E22="Simple","    "&amp;'WIN LAYERS'!$G22&amp;",",IF($A24="SpectralAverage,","     "&amp;'WIN LAYERS'!$I22&amp;",","    "&amp;'WIN LAYERS'!$I22&amp;" ,")))</f>
        <v xml:space="preserve">     ,</v>
      </c>
      <c r="B280" s="412" t="str">
        <f>IF('WIN LAYERS'!$C22="","",IF('WIN LAYERS'!$E22="Simple","! SHGC.","! DataSet Name if Calc Type is Sprectral"))</f>
        <v>! DataSet Name if Calc Type is Sprectral</v>
      </c>
    </row>
    <row r="281" spans="1:2">
      <c r="A281" s="412" t="str">
        <f>IF('WIN LAYERS'!$C22="","",IF('WIN LAYERS'!$E22="Simple","    "&amp;'WIN LAYERS'!$H22&amp;";","    "&amp;'WIN LAYERS'!$J22/1000&amp;","))</f>
        <v xml:space="preserve">    0.0127,</v>
      </c>
      <c r="B281" s="412" t="str">
        <f>IF('WIN LAYERS'!$C22="","",IF('WIN LAYERS'!$E22="Simple","! Visible Transmittance","! Thickness"))</f>
        <v>! Thickness</v>
      </c>
    </row>
    <row r="282" spans="1:2">
      <c r="A282" s="412" t="str">
        <f>IF('WIN LAYERS'!$C22="","",IF('WIN LAYERS'!$E22="Simple","","    "&amp;'WIN LAYERS'!$K22&amp;","))</f>
        <v xml:space="preserve">    ,</v>
      </c>
      <c r="B282" s="412" t="str">
        <f>IF(OR('WIN LAYERS'!$C22="",'WIN LAYERS'!$E22="Simple"),"","! Solar Transmittance at Normal Incidence")</f>
        <v>! Solar Transmittance at Normal Incidence</v>
      </c>
    </row>
    <row r="283" spans="1:2">
      <c r="A283" s="412" t="str">
        <f>IF(OR('WIN LAYERS'!$C22="",'WIN LAYERS'!$E22="Simple"),"","    "&amp;'WIN LAYERS'!$L22&amp;",")</f>
        <v xml:space="preserve">    ,</v>
      </c>
      <c r="B283" s="412" t="str">
        <f>IF(OR('WIN LAYERS'!$C22="",'WIN LAYERS'!$E22="Simple"),"","! Front Side Solar Reflectance at Normal Incidence")</f>
        <v>! Front Side Solar Reflectance at Normal Incidence</v>
      </c>
    </row>
    <row r="284" spans="1:2">
      <c r="A284" s="412" t="str">
        <f>IF(OR('WIN LAYERS'!$C22="",'WIN LAYERS'!$E22="Simple"),"","    "&amp;'WIN LAYERS'!$M22&amp;",")</f>
        <v xml:space="preserve">    ,</v>
      </c>
      <c r="B284" s="412" t="str">
        <f>IF(OR('WIN LAYERS'!$C22="",'WIN LAYERS'!$E22="Simple"),"","! Back Side Solar Reflectance at Normal Incidence")</f>
        <v>! Back Side Solar Reflectance at Normal Incidence</v>
      </c>
    </row>
    <row r="285" spans="1:2">
      <c r="A285" s="412" t="str">
        <f>IF(OR('WIN LAYERS'!$C22="",'WIN LAYERS'!$E22="Simple"),"","    "&amp;'WIN LAYERS'!$N22&amp;",")</f>
        <v xml:space="preserve">    ,</v>
      </c>
      <c r="B285" s="412" t="str">
        <f>IF(OR('WIN LAYERS'!$C22="",'WIN LAYERS'!$E22="Simple"),"","! Visible Transmittance at Normal Incidence")</f>
        <v>! Visible Transmittance at Normal Incidence</v>
      </c>
    </row>
    <row r="286" spans="1:2">
      <c r="A286" s="412" t="str">
        <f>IF(OR('WIN LAYERS'!$C22="",'WIN LAYERS'!$E22="Simple"),"","    "&amp;'WIN LAYERS'!$O22&amp;",")</f>
        <v xml:space="preserve">    ,</v>
      </c>
      <c r="B286" s="412" t="str">
        <f>IF(OR('WIN LAYERS'!$C22="",'WIN LAYERS'!$E22="Simple"),"","! Front Side Visible Reflectance at Normal Incidence")</f>
        <v>! Front Side Visible Reflectance at Normal Incidence</v>
      </c>
    </row>
    <row r="287" spans="1:2">
      <c r="A287" s="412" t="str">
        <f>IF(OR('WIN LAYERS'!$C22="",'WIN LAYERS'!$E22="Simple"),"","    "&amp;'WIN LAYERS'!$P22&amp;",")</f>
        <v xml:space="preserve">    ,</v>
      </c>
      <c r="B287" s="412" t="str">
        <f>IF(OR('WIN LAYERS'!$C22="",'WIN LAYERS'!$E22="Simple"),"","! Back Side Visible Reflectance at Normal Incidence")</f>
        <v>! Back Side Visible Reflectance at Normal Incidence</v>
      </c>
    </row>
    <row r="288" spans="1:2">
      <c r="A288" s="412" t="str">
        <f>IF(OR('WIN LAYERS'!$C22="",'WIN LAYERS'!$E22="Simple"),"","    "&amp;'WIN LAYERS'!$Q22&amp;",")</f>
        <v xml:space="preserve">    ,</v>
      </c>
      <c r="B288" s="412" t="str">
        <f>IF(OR('WIN LAYERS'!$C22="",'WIN LAYERS'!$E22="Simple"),"","! Infrared Transmittance at Normal Incidence")</f>
        <v>! Infrared Transmittance at Normal Incidence</v>
      </c>
    </row>
    <row r="289" spans="1:2">
      <c r="A289" s="412" t="str">
        <f>IF(OR('WIN LAYERS'!$C22="",'WIN LAYERS'!$E22="Simple"),"","    "&amp;'WIN LAYERS'!$R22&amp;",")</f>
        <v xml:space="preserve">    ,</v>
      </c>
      <c r="B289" s="412" t="str">
        <f>IF(OR('WIN LAYERS'!$C22="",'WIN LAYERS'!$E22="Simple"),"","! Front Side Infrared Hemispherical Emissivity")</f>
        <v>! Front Side Infrared Hemispherical Emissivity</v>
      </c>
    </row>
    <row r="290" spans="1:2">
      <c r="A290" s="412" t="str">
        <f>IF(OR('WIN LAYERS'!$C22="",'WIN LAYERS'!$E22="Simple"),"","    "&amp;'WIN LAYERS'!$S22&amp;",")</f>
        <v xml:space="preserve">    ,</v>
      </c>
      <c r="B290" s="412" t="str">
        <f>IF(OR('WIN LAYERS'!$C22="",'WIN LAYERS'!$E22="Simple"),"","! Back Side Infrared Hemispherical Emissivity")</f>
        <v>! Back Side Infrared Hemispherical Emissivity</v>
      </c>
    </row>
    <row r="291" spans="1:2">
      <c r="A291" s="412" t="str">
        <f>IF(OR('WIN LAYERS'!$C22="",'WIN LAYERS'!$E22="Simple"),"","    "&amp;'WIN LAYERS'!$T22&amp;",")</f>
        <v xml:space="preserve">    ,</v>
      </c>
      <c r="B291" s="412" t="str">
        <f>IF(OR('WIN LAYERS'!$C22="",'WIN LAYERS'!$E22="Simple"),"","! Conductivity")</f>
        <v>! Conductivity</v>
      </c>
    </row>
    <row r="292" spans="1:2">
      <c r="A292" s="416" t="str">
        <f>IF(OR('WIN LAYERS'!$C22="",'WIN LAYERS'!$E22="Simple"),"","    "&amp;'WIN LAYERS'!$U22&amp;",")</f>
        <v xml:space="preserve">    ,</v>
      </c>
      <c r="B292" s="412" t="str">
        <f>IF(OR('WIN LAYERS'!$C22="",'WIN LAYERS'!$E22="Simple"),"","! Dirt Correction Factor for Solar and Visible Transmittance")</f>
        <v>! Dirt Correction Factor for Solar and Visible Transmittance</v>
      </c>
    </row>
    <row r="293" spans="1:2">
      <c r="A293" s="412" t="str">
        <f>IF(OR('WIN LAYERS'!$C22="",'WIN LAYERS'!$E22="Simple"),"","    "&amp;'WIN LAYERS'!$V22&amp;";")</f>
        <v xml:space="preserve">    ;</v>
      </c>
      <c r="B293" s="412" t="str">
        <f>IF(OR('WIN LAYERS'!$C22="",'WIN LAYERS'!$E22="Simple"),"","! Solar Diffusing? Translucent?")</f>
        <v>! Solar Diffusing? Translucent?</v>
      </c>
    </row>
    <row r="294" spans="1:2">
      <c r="A294" s="412"/>
      <c r="B294" s="412"/>
    </row>
    <row r="295" spans="1:2">
      <c r="A295" s="412" t="str">
        <f>IF('WIN LAYERS'!$C23="","",IF(OR('WIN LAYERS'!$E23="Simple",'WIN LAYERS'!$E23="Air"),"WindowMaterial:SimpleGlazingSystem,","WindowMaterial:Glazing,"))</f>
        <v/>
      </c>
      <c r="B295" s="412" t="str">
        <f>IF('WIN LAYERS'!$C23="","","! User defined glazing material from GLAZING MATERIALS")</f>
        <v/>
      </c>
    </row>
    <row r="296" spans="1:2">
      <c r="A296" s="412" t="str">
        <f>IF('WIN LAYERS'!$C23="","","    Window Material "&amp;'WIN LAYERS'!$B23&amp;",")</f>
        <v/>
      </c>
      <c r="B296" s="412" t="str">
        <f>IF('WIN LAYERS'!$C23="","","!   spreadsheet under #/ID: "&amp;'WIN LAYERS'!$B23&amp;" and Name: "&amp;'WIN LAYERS'!$C23&amp;".")</f>
        <v/>
      </c>
    </row>
    <row r="297" spans="1:2">
      <c r="A297" s="412" t="str">
        <f>IF('WIN LAYERS'!$C23="","",IF('WIN LAYERS'!$E23="Simple","    "&amp;'WIN LAYERS'!$F23&amp;",",IF('WIN LAYERS'!$I23="","    SpectralAverage","    Spectral")))</f>
        <v/>
      </c>
      <c r="B297" s="412" t="str">
        <f>IF('WIN LAYERS'!$C23="","",IF('WIN LAYERS'!$E23="Simple","! U-value.","! Calculation Type - Average or Spectral Data Set."))</f>
        <v/>
      </c>
    </row>
    <row r="298" spans="1:2">
      <c r="A298" s="412" t="str">
        <f>IF('WIN LAYERS'!$C23="","",IF('WIN LAYERS'!$E23="Simple","    "&amp;'WIN LAYERS'!$G23&amp;",",IF($A25="SpectralAverage,","     "&amp;'WIN LAYERS'!$I23&amp;",","    "&amp;'WIN LAYERS'!$I23&amp;" ,")))</f>
        <v/>
      </c>
      <c r="B298" s="412" t="str">
        <f>IF('WIN LAYERS'!$C23="","",IF('WIN LAYERS'!$E23="Simple","! SHGC.","! DataSet Name if Calc Type is Sprectral"))</f>
        <v/>
      </c>
    </row>
    <row r="299" spans="1:2">
      <c r="A299" s="412" t="str">
        <f>IF('WIN LAYERS'!$C23="","",IF('WIN LAYERS'!$E23="Simple","    "&amp;'WIN LAYERS'!$H23&amp;";","    "&amp;'WIN LAYERS'!$J23/1000&amp;","))</f>
        <v/>
      </c>
      <c r="B299" s="412" t="str">
        <f>IF('WIN LAYERS'!$C23="","",IF('WIN LAYERS'!$E23="Simple","! Visible Transmittance","! Thickness"))</f>
        <v/>
      </c>
    </row>
    <row r="300" spans="1:2">
      <c r="A300" s="412" t="str">
        <f>IF('WIN LAYERS'!$C23="","",IF('WIN LAYERS'!$E23="Simple","","    "&amp;'WIN LAYERS'!$K23&amp;","))</f>
        <v/>
      </c>
      <c r="B300" s="412" t="str">
        <f>IF(OR('WIN LAYERS'!$C23="",'WIN LAYERS'!$E23="Simple"),"","! Solar Transmittance at Normal Incidence")</f>
        <v/>
      </c>
    </row>
    <row r="301" spans="1:2">
      <c r="A301" s="412" t="str">
        <f>IF(OR('WIN LAYERS'!$C23="",'WIN LAYERS'!$E23="Simple"),"","    "&amp;'WIN LAYERS'!$L23&amp;",")</f>
        <v/>
      </c>
      <c r="B301" s="412" t="str">
        <f>IF(OR('WIN LAYERS'!$C23="",'WIN LAYERS'!$E23="Simple"),"","! Front Side Solar Reflectance at Normal Incidence")</f>
        <v/>
      </c>
    </row>
    <row r="302" spans="1:2">
      <c r="A302" s="412" t="str">
        <f>IF(OR('WIN LAYERS'!$C23="",'WIN LAYERS'!$E23="Simple"),"","    "&amp;'WIN LAYERS'!$M23&amp;",")</f>
        <v/>
      </c>
      <c r="B302" s="412" t="str">
        <f>IF(OR('WIN LAYERS'!$C23="",'WIN LAYERS'!$E23="Simple"),"","! Back Side Solar Reflectance at Normal Incidence")</f>
        <v/>
      </c>
    </row>
    <row r="303" spans="1:2">
      <c r="A303" s="412" t="str">
        <f>IF(OR('WIN LAYERS'!$C23="",'WIN LAYERS'!$E23="Simple"),"","    "&amp;'WIN LAYERS'!$N23&amp;",")</f>
        <v/>
      </c>
      <c r="B303" s="412" t="str">
        <f>IF(OR('WIN LAYERS'!$C23="",'WIN LAYERS'!$E23="Simple"),"","! Visible Transmittance at Normal Incidence")</f>
        <v/>
      </c>
    </row>
    <row r="304" spans="1:2">
      <c r="A304" s="412" t="str">
        <f>IF(OR('WIN LAYERS'!$C23="",'WIN LAYERS'!$E23="Simple"),"","    "&amp;'WIN LAYERS'!$O23&amp;",")</f>
        <v/>
      </c>
      <c r="B304" s="412" t="str">
        <f>IF(OR('WIN LAYERS'!$C23="",'WIN LAYERS'!$E23="Simple"),"","! Front Side Visible Reflectance at Normal Incidence")</f>
        <v/>
      </c>
    </row>
    <row r="305" spans="1:2">
      <c r="A305" s="412" t="str">
        <f>IF(OR('WIN LAYERS'!$C23="",'WIN LAYERS'!$E23="Simple"),"","    "&amp;'WIN LAYERS'!$P23&amp;",")</f>
        <v/>
      </c>
      <c r="B305" s="412" t="str">
        <f>IF(OR('WIN LAYERS'!$C23="",'WIN LAYERS'!$E23="Simple"),"","! Back Side Visible Reflectance at Normal Incidence")</f>
        <v/>
      </c>
    </row>
    <row r="306" spans="1:2">
      <c r="A306" s="412" t="str">
        <f>IF(OR('WIN LAYERS'!$C23="",'WIN LAYERS'!$E23="Simple"),"","    "&amp;'WIN LAYERS'!$Q23&amp;",")</f>
        <v/>
      </c>
      <c r="B306" s="412" t="str">
        <f>IF(OR('WIN LAYERS'!$C23="",'WIN LAYERS'!$E23="Simple"),"","! Infrared Transmittance at Normal Incidence")</f>
        <v/>
      </c>
    </row>
    <row r="307" spans="1:2">
      <c r="A307" s="412" t="str">
        <f>IF(OR('WIN LAYERS'!$C23="",'WIN LAYERS'!$E23="Simple"),"","    "&amp;'WIN LAYERS'!$R23&amp;",")</f>
        <v/>
      </c>
      <c r="B307" s="412" t="str">
        <f>IF(OR('WIN LAYERS'!$C23="",'WIN LAYERS'!$E23="Simple"),"","! Front Side Infrared Hemispherical Emissivity")</f>
        <v/>
      </c>
    </row>
    <row r="308" spans="1:2">
      <c r="A308" s="412" t="str">
        <f>IF(OR('WIN LAYERS'!$C23="",'WIN LAYERS'!$E23="Simple"),"","    "&amp;'WIN LAYERS'!$S23&amp;",")</f>
        <v/>
      </c>
      <c r="B308" s="412" t="str">
        <f>IF(OR('WIN LAYERS'!$C23="",'WIN LAYERS'!$E23="Simple"),"","! Back Side Infrared Hemispherical Emissivity")</f>
        <v/>
      </c>
    </row>
    <row r="309" spans="1:2">
      <c r="A309" s="412" t="str">
        <f>IF(OR('WIN LAYERS'!$C23="",'WIN LAYERS'!$E23="Simple"),"","    "&amp;'WIN LAYERS'!$T23&amp;",")</f>
        <v/>
      </c>
      <c r="B309" s="412" t="str">
        <f>IF(OR('WIN LAYERS'!$C23="",'WIN LAYERS'!$E23="Simple"),"","! Conductivity")</f>
        <v/>
      </c>
    </row>
    <row r="310" spans="1:2">
      <c r="A310" s="416" t="str">
        <f>IF(OR('WIN LAYERS'!$C23="",'WIN LAYERS'!$E23="Simple"),"","    "&amp;'WIN LAYERS'!$U23&amp;",")</f>
        <v/>
      </c>
      <c r="B310" s="412" t="str">
        <f>IF(OR('WIN LAYERS'!$C23="",'WIN LAYERS'!$E23="Simple"),"","! Dirt Correction Factor for Solar and Visible Transmittance")</f>
        <v/>
      </c>
    </row>
    <row r="311" spans="1:2">
      <c r="A311" s="412" t="str">
        <f>IF(OR('WIN LAYERS'!$C23="",'WIN LAYERS'!$E23="Simple"),"","    "&amp;'WIN LAYERS'!$V23&amp;";")</f>
        <v/>
      </c>
      <c r="B311" s="412" t="str">
        <f>IF(OR('WIN LAYERS'!$C23="",'WIN LAYERS'!$E23="Simple"),"","! Solar Diffusing? Translucent?")</f>
        <v/>
      </c>
    </row>
    <row r="312" spans="1:2">
      <c r="A312" s="412"/>
      <c r="B312" s="412"/>
    </row>
    <row r="313" spans="1:2">
      <c r="A313" s="412" t="str">
        <f>IF('WIN LAYERS'!$C24="","",IF(OR('WIN LAYERS'!$E24="Simple",'WIN LAYERS'!$E24="Air"),"WindowMaterial:SimpleGlazingSystem,","WindowMaterial:Glazing,"))</f>
        <v/>
      </c>
      <c r="B313" s="412" t="str">
        <f>IF('WIN LAYERS'!$C24="","","! User defined glazing material from GLAZING MATERIALS")</f>
        <v/>
      </c>
    </row>
    <row r="314" spans="1:2">
      <c r="A314" s="412" t="str">
        <f>IF('WIN LAYERS'!$C24="","","    Window Material "&amp;'WIN LAYERS'!$B24&amp;",")</f>
        <v/>
      </c>
      <c r="B314" s="412" t="str">
        <f>IF('WIN LAYERS'!$C24="","","!   spreadsheet under #/ID: "&amp;'WIN LAYERS'!$B24&amp;" and Name: "&amp;'WIN LAYERS'!$C24&amp;".")</f>
        <v/>
      </c>
    </row>
    <row r="315" spans="1:2">
      <c r="A315" s="412" t="str">
        <f>IF('WIN LAYERS'!$C24="","",IF('WIN LAYERS'!$E24="Simple","    "&amp;'WIN LAYERS'!$F24&amp;",",IF('WIN LAYERS'!$I24="","    SpectralAverage","    Spectral")))</f>
        <v/>
      </c>
      <c r="B315" s="412" t="str">
        <f>IF('WIN LAYERS'!$C24="","",IF('WIN LAYERS'!$E24="Simple","! U-value.","! Calculation Type - Average or Spectral Data Set."))</f>
        <v/>
      </c>
    </row>
    <row r="316" spans="1:2">
      <c r="A316" s="412" t="str">
        <f>IF('WIN LAYERS'!$C24="","",IF('WIN LAYERS'!$E24="Simple","    "&amp;'WIN LAYERS'!$G24&amp;",",IF($A26="SpectralAverage,","     "&amp;'WIN LAYERS'!$I24&amp;",","    "&amp;'WIN LAYERS'!$I24&amp;" ,")))</f>
        <v/>
      </c>
      <c r="B316" s="412" t="str">
        <f>IF('WIN LAYERS'!$C24="","",IF('WIN LAYERS'!$E24="Simple","! SHGC.","! DataSet Name if Calc Type is Sprectral"))</f>
        <v/>
      </c>
    </row>
    <row r="317" spans="1:2">
      <c r="A317" s="412" t="str">
        <f>IF('WIN LAYERS'!$C24="","",IF('WIN LAYERS'!$E24="Simple","    "&amp;'WIN LAYERS'!$H24&amp;";","    "&amp;'WIN LAYERS'!$J24/1000&amp;","))</f>
        <v/>
      </c>
      <c r="B317" s="412" t="str">
        <f>IF('WIN LAYERS'!$C24="","",IF('WIN LAYERS'!$E24="Simple","! Visible Transmittance","! Thickness"))</f>
        <v/>
      </c>
    </row>
    <row r="318" spans="1:2">
      <c r="A318" s="412" t="str">
        <f>IF('WIN LAYERS'!$C24="","",IF('WIN LAYERS'!$E24="Simple","","    "&amp;'WIN LAYERS'!$K24&amp;","))</f>
        <v/>
      </c>
      <c r="B318" s="412" t="str">
        <f>IF(OR('WIN LAYERS'!$C24="",'WIN LAYERS'!$E24="Simple"),"","! Solar Transmittance at Normal Incidence")</f>
        <v/>
      </c>
    </row>
    <row r="319" spans="1:2">
      <c r="A319" s="412" t="str">
        <f>IF(OR('WIN LAYERS'!$C24="",'WIN LAYERS'!$E24="Simple"),"","    "&amp;'WIN LAYERS'!$L24&amp;",")</f>
        <v/>
      </c>
      <c r="B319" s="412" t="str">
        <f>IF(OR('WIN LAYERS'!$C24="",'WIN LAYERS'!$E24="Simple"),"","! Front Side Solar Reflectance at Normal Incidence")</f>
        <v/>
      </c>
    </row>
    <row r="320" spans="1:2">
      <c r="A320" s="412" t="str">
        <f>IF(OR('WIN LAYERS'!$C24="",'WIN LAYERS'!$E24="Simple"),"","    "&amp;'WIN LAYERS'!$M24&amp;",")</f>
        <v/>
      </c>
      <c r="B320" s="412" t="str">
        <f>IF(OR('WIN LAYERS'!$C24="",'WIN LAYERS'!$E24="Simple"),"","! Back Side Solar Reflectance at Normal Incidence")</f>
        <v/>
      </c>
    </row>
    <row r="321" spans="1:2">
      <c r="A321" s="412" t="str">
        <f>IF(OR('WIN LAYERS'!$C24="",'WIN LAYERS'!$E24="Simple"),"","    "&amp;'WIN LAYERS'!$N24&amp;",")</f>
        <v/>
      </c>
      <c r="B321" s="412" t="str">
        <f>IF(OR('WIN LAYERS'!$C24="",'WIN LAYERS'!$E24="Simple"),"","! Visible Transmittance at Normal Incidence")</f>
        <v/>
      </c>
    </row>
    <row r="322" spans="1:2">
      <c r="A322" s="412" t="str">
        <f>IF(OR('WIN LAYERS'!$C24="",'WIN LAYERS'!$E24="Simple"),"","    "&amp;'WIN LAYERS'!$O24&amp;",")</f>
        <v/>
      </c>
      <c r="B322" s="412" t="str">
        <f>IF(OR('WIN LAYERS'!$C24="",'WIN LAYERS'!$E24="Simple"),"","! Front Side Visible Reflectance at Normal Incidence")</f>
        <v/>
      </c>
    </row>
    <row r="323" spans="1:2">
      <c r="A323" s="412" t="str">
        <f>IF(OR('WIN LAYERS'!$C24="",'WIN LAYERS'!$E24="Simple"),"","    "&amp;'WIN LAYERS'!$P24&amp;",")</f>
        <v/>
      </c>
      <c r="B323" s="412" t="str">
        <f>IF(OR('WIN LAYERS'!$C24="",'WIN LAYERS'!$E24="Simple"),"","! Back Side Visible Reflectance at Normal Incidence")</f>
        <v/>
      </c>
    </row>
    <row r="324" spans="1:2">
      <c r="A324" s="412" t="str">
        <f>IF(OR('WIN LAYERS'!$C24="",'WIN LAYERS'!$E24="Simple"),"","    "&amp;'WIN LAYERS'!$Q24&amp;",")</f>
        <v/>
      </c>
      <c r="B324" s="412" t="str">
        <f>IF(OR('WIN LAYERS'!$C24="",'WIN LAYERS'!$E24="Simple"),"","! Infrared Transmittance at Normal Incidence")</f>
        <v/>
      </c>
    </row>
    <row r="325" spans="1:2">
      <c r="A325" s="412" t="str">
        <f>IF(OR('WIN LAYERS'!$C24="",'WIN LAYERS'!$E24="Simple"),"","    "&amp;'WIN LAYERS'!$R24&amp;",")</f>
        <v/>
      </c>
      <c r="B325" s="412" t="str">
        <f>IF(OR('WIN LAYERS'!$C24="",'WIN LAYERS'!$E24="Simple"),"","! Front Side Infrared Hemispherical Emissivity")</f>
        <v/>
      </c>
    </row>
    <row r="326" spans="1:2">
      <c r="A326" s="412" t="str">
        <f>IF(OR('WIN LAYERS'!$C24="",'WIN LAYERS'!$E24="Simple"),"","    "&amp;'WIN LAYERS'!$S24&amp;",")</f>
        <v/>
      </c>
      <c r="B326" s="412" t="str">
        <f>IF(OR('WIN LAYERS'!$C24="",'WIN LAYERS'!$E24="Simple"),"","! Back Side Infrared Hemispherical Emissivity")</f>
        <v/>
      </c>
    </row>
    <row r="327" spans="1:2">
      <c r="A327" s="412" t="str">
        <f>IF(OR('WIN LAYERS'!$C24="",'WIN LAYERS'!$E24="Simple"),"","    "&amp;'WIN LAYERS'!$T24&amp;",")</f>
        <v/>
      </c>
      <c r="B327" s="412" t="str">
        <f>IF(OR('WIN LAYERS'!$C24="",'WIN LAYERS'!$E24="Simple"),"","! Conductivity")</f>
        <v/>
      </c>
    </row>
    <row r="328" spans="1:2">
      <c r="A328" s="416" t="str">
        <f>IF(OR('WIN LAYERS'!$C24="",'WIN LAYERS'!$E24="Simple"),"","    "&amp;'WIN LAYERS'!$U24&amp;",")</f>
        <v/>
      </c>
      <c r="B328" s="412" t="str">
        <f>IF(OR('WIN LAYERS'!$C24="",'WIN LAYERS'!$E24="Simple"),"","! Dirt Correction Factor for Solar and Visible Transmittance")</f>
        <v/>
      </c>
    </row>
    <row r="329" spans="1:2">
      <c r="A329" s="412" t="str">
        <f>IF(OR('WIN LAYERS'!$C24="",'WIN LAYERS'!$E24="Simple"),"","    "&amp;'WIN LAYERS'!$V24&amp;";")</f>
        <v/>
      </c>
      <c r="B329" s="412" t="str">
        <f>IF(OR('WIN LAYERS'!$C24="",'WIN LAYERS'!$E24="Simple"),"","! Solar Diffusing? Translucent?")</f>
        <v/>
      </c>
    </row>
    <row r="330" spans="1:2">
      <c r="A330" s="412"/>
      <c r="B330" s="412"/>
    </row>
    <row r="331" spans="1:2">
      <c r="A331" s="412" t="str">
        <f>IF('WIN LAYERS'!$C25="","",IF(OR('WIN LAYERS'!$E25="Simple",'WIN LAYERS'!$E25="Air"),"WindowMaterial:SimpleGlazingSystem,","WindowMaterial:Glazing,"))</f>
        <v/>
      </c>
      <c r="B331" s="412" t="str">
        <f>IF('WIN LAYERS'!$C25="","","! User defined glazing material from GLAZING MATERIALS")</f>
        <v/>
      </c>
    </row>
    <row r="332" spans="1:2">
      <c r="A332" s="412" t="str">
        <f>IF('WIN LAYERS'!$C25="","","    Window Material "&amp;'WIN LAYERS'!$B25&amp;",")</f>
        <v/>
      </c>
      <c r="B332" s="412" t="str">
        <f>IF('WIN LAYERS'!$C25="","","!   spreadsheet under #/ID: "&amp;'WIN LAYERS'!$B25&amp;" and Name: "&amp;'WIN LAYERS'!$C25&amp;".")</f>
        <v/>
      </c>
    </row>
    <row r="333" spans="1:2">
      <c r="A333" s="412" t="str">
        <f>IF('WIN LAYERS'!$C25="","",IF('WIN LAYERS'!$E25="Simple","    "&amp;'WIN LAYERS'!$F25&amp;",",IF('WIN LAYERS'!$I25="","    SpectralAverage","    Spectral")))</f>
        <v/>
      </c>
      <c r="B333" s="412" t="str">
        <f>IF('WIN LAYERS'!$C25="","",IF('WIN LAYERS'!$E25="Simple","! U-value.","! Calculation Type - Average or Spectral Data Set."))</f>
        <v/>
      </c>
    </row>
    <row r="334" spans="1:2">
      <c r="A334" s="412" t="str">
        <f>IF('WIN LAYERS'!$C25="","",IF('WIN LAYERS'!$E25="Simple","    "&amp;'WIN LAYERS'!$G25&amp;",",IF($A27="SpectralAverage,","     "&amp;'WIN LAYERS'!$I25&amp;",","    "&amp;'WIN LAYERS'!$I25&amp;" ,")))</f>
        <v/>
      </c>
      <c r="B334" s="412" t="str">
        <f>IF('WIN LAYERS'!$C25="","",IF('WIN LAYERS'!$E25="Simple","! SHGC.","! DataSet Name if Calc Type is Sprectral"))</f>
        <v/>
      </c>
    </row>
    <row r="335" spans="1:2">
      <c r="A335" s="412" t="str">
        <f>IF('WIN LAYERS'!$C25="","",IF('WIN LAYERS'!$E25="Simple","    "&amp;'WIN LAYERS'!$H25&amp;";","    "&amp;'WIN LAYERS'!$J25/1000&amp;","))</f>
        <v/>
      </c>
      <c r="B335" s="412" t="str">
        <f>IF('WIN LAYERS'!$C25="","",IF('WIN LAYERS'!$E25="Simple","! Visible Transmittance","! Thickness"))</f>
        <v/>
      </c>
    </row>
    <row r="336" spans="1:2">
      <c r="A336" s="412" t="str">
        <f>IF('WIN LAYERS'!$C25="","",IF('WIN LAYERS'!$E25="Simple","","    "&amp;'WIN LAYERS'!$K25&amp;","))</f>
        <v/>
      </c>
      <c r="B336" s="412" t="str">
        <f>IF(OR('WIN LAYERS'!$C25="",'WIN LAYERS'!$E25="Simple"),"","! Solar Transmittance at Normal Incidence")</f>
        <v/>
      </c>
    </row>
    <row r="337" spans="1:4">
      <c r="A337" s="412" t="str">
        <f>IF(OR('WIN LAYERS'!$C25="",'WIN LAYERS'!$E25="Simple"),"","    "&amp;'WIN LAYERS'!$L25&amp;",")</f>
        <v/>
      </c>
      <c r="B337" s="412" t="str">
        <f>IF(OR('WIN LAYERS'!$C25="",'WIN LAYERS'!$E25="Simple"),"","! Front Side Solar Reflectance at Normal Incidence")</f>
        <v/>
      </c>
    </row>
    <row r="338" spans="1:4">
      <c r="A338" s="412" t="str">
        <f>IF(OR('WIN LAYERS'!$C25="",'WIN LAYERS'!$E25="Simple"),"","    "&amp;'WIN LAYERS'!$M25&amp;",")</f>
        <v/>
      </c>
      <c r="B338" s="412" t="str">
        <f>IF(OR('WIN LAYERS'!$C25="",'WIN LAYERS'!$E25="Simple"),"","! Back Side Solar Reflectance at Normal Incidence")</f>
        <v/>
      </c>
    </row>
    <row r="339" spans="1:4">
      <c r="A339" s="412" t="str">
        <f>IF(OR('WIN LAYERS'!$C25="",'WIN LAYERS'!$E25="Simple"),"","    "&amp;'WIN LAYERS'!$N25&amp;",")</f>
        <v/>
      </c>
      <c r="B339" s="412" t="str">
        <f>IF(OR('WIN LAYERS'!$C25="",'WIN LAYERS'!$E25="Simple"),"","! Visible Transmittance at Normal Incidence")</f>
        <v/>
      </c>
    </row>
    <row r="340" spans="1:4">
      <c r="A340" s="412" t="str">
        <f>IF(OR('WIN LAYERS'!$C25="",'WIN LAYERS'!$E25="Simple"),"","    "&amp;'WIN LAYERS'!$O25&amp;",")</f>
        <v/>
      </c>
      <c r="B340" s="412" t="str">
        <f>IF(OR('WIN LAYERS'!$C25="",'WIN LAYERS'!$E25="Simple"),"","! Front Side Visible Reflectance at Normal Incidence")</f>
        <v/>
      </c>
    </row>
    <row r="341" spans="1:4">
      <c r="A341" s="412" t="str">
        <f>IF(OR('WIN LAYERS'!$C25="",'WIN LAYERS'!$E25="Simple"),"","    "&amp;'WIN LAYERS'!$P25&amp;",")</f>
        <v/>
      </c>
      <c r="B341" s="412" t="str">
        <f>IF(OR('WIN LAYERS'!$C25="",'WIN LAYERS'!$E25="Simple"),"","! Back Side Visible Reflectance at Normal Incidence")</f>
        <v/>
      </c>
    </row>
    <row r="342" spans="1:4">
      <c r="A342" s="412" t="str">
        <f>IF(OR('WIN LAYERS'!$C25="",'WIN LAYERS'!$E25="Simple"),"","    "&amp;'WIN LAYERS'!$Q25&amp;",")</f>
        <v/>
      </c>
      <c r="B342" s="412" t="str">
        <f>IF(OR('WIN LAYERS'!$C25="",'WIN LAYERS'!$E25="Simple"),"","! Infrared Transmittance at Normal Incidence")</f>
        <v/>
      </c>
    </row>
    <row r="343" spans="1:4">
      <c r="A343" s="412" t="str">
        <f>IF(OR('WIN LAYERS'!$C25="",'WIN LAYERS'!$E25="Simple"),"","    "&amp;'WIN LAYERS'!$R25&amp;",")</f>
        <v/>
      </c>
      <c r="B343" s="412" t="str">
        <f>IF(OR('WIN LAYERS'!$C25="",'WIN LAYERS'!$E25="Simple"),"","! Front Side Infrared Hemispherical Emissivity")</f>
        <v/>
      </c>
    </row>
    <row r="344" spans="1:4">
      <c r="A344" s="412" t="str">
        <f>IF(OR('WIN LAYERS'!$C25="",'WIN LAYERS'!$E25="Simple"),"","    "&amp;'WIN LAYERS'!$S25&amp;",")</f>
        <v/>
      </c>
      <c r="B344" s="412" t="str">
        <f>IF(OR('WIN LAYERS'!$C25="",'WIN LAYERS'!$E25="Simple"),"","! Back Side Infrared Hemispherical Emissivity")</f>
        <v/>
      </c>
    </row>
    <row r="345" spans="1:4">
      <c r="A345" s="412" t="str">
        <f>IF(OR('WIN LAYERS'!$C25="",'WIN LAYERS'!$E25="Simple"),"","    "&amp;'WIN LAYERS'!$T25&amp;",")</f>
        <v/>
      </c>
      <c r="B345" s="412" t="str">
        <f>IF(OR('WIN LAYERS'!$C25="",'WIN LAYERS'!$E25="Simple"),"","! Conductivity")</f>
        <v/>
      </c>
    </row>
    <row r="346" spans="1:4">
      <c r="A346" s="416" t="str">
        <f>IF(OR('WIN LAYERS'!$C25="",'WIN LAYERS'!$E25="Simple"),"","    "&amp;'WIN LAYERS'!$U25&amp;",")</f>
        <v/>
      </c>
      <c r="B346" s="412" t="str">
        <f>IF(OR('WIN LAYERS'!$C25="",'WIN LAYERS'!$E25="Simple"),"","! Dirt Correction Factor for Solar and Visible Transmittance")</f>
        <v/>
      </c>
      <c r="C346" s="412"/>
      <c r="D346" s="412"/>
    </row>
    <row r="347" spans="1:4">
      <c r="A347" s="412" t="str">
        <f>IF(OR('WIN LAYERS'!$C25="",'WIN LAYERS'!$E25="Simple"),"","    "&amp;'WIN LAYERS'!$V25&amp;";")</f>
        <v/>
      </c>
      <c r="B347" s="412" t="str">
        <f>IF(OR('WIN LAYERS'!$C25="",'WIN LAYERS'!$E25="Simple"),"","! Solar Diffusing? Translucent?")</f>
        <v/>
      </c>
      <c r="C347" s="412"/>
      <c r="D347" s="412"/>
    </row>
    <row r="348" spans="1:4">
      <c r="A348" s="412"/>
      <c r="B348" s="412"/>
      <c r="C348" s="412"/>
      <c r="D348" s="412"/>
    </row>
    <row r="349" spans="1:4">
      <c r="A349" s="412" t="str">
        <f>IF('WIN LAYERS'!$C26="","",IF(OR('WIN LAYERS'!$E26="Simple",'WIN LAYERS'!$E26="Air"),"WindowMaterial:SimpleGlazingSystem,","WindowMaterial:Glazing,"))</f>
        <v/>
      </c>
      <c r="B349" s="412" t="str">
        <f>IF('WIN LAYERS'!$C26="","","! User defined glazing material from GLAZING MATERIALS")</f>
        <v/>
      </c>
      <c r="C349" s="412"/>
      <c r="D349" s="412"/>
    </row>
    <row r="350" spans="1:4">
      <c r="A350" s="412" t="str">
        <f>IF('WIN LAYERS'!$C26="","","    Window Material "&amp;'WIN LAYERS'!$B26&amp;",")</f>
        <v/>
      </c>
      <c r="B350" s="412" t="str">
        <f>IF('WIN LAYERS'!$C26="","","!   spreadsheet under #/ID: "&amp;'WIN LAYERS'!$B26&amp;" and Name: "&amp;'WIN LAYERS'!$C26&amp;".")</f>
        <v/>
      </c>
      <c r="C350" s="412"/>
      <c r="D350" s="412"/>
    </row>
    <row r="351" spans="1:4">
      <c r="A351" s="412" t="str">
        <f>IF('WIN LAYERS'!$C26="","",IF('WIN LAYERS'!$E26="Simple","    "&amp;'WIN LAYERS'!$F26&amp;",",IF('WIN LAYERS'!$I26="","    SpectralAverage","    Spectral")))</f>
        <v/>
      </c>
      <c r="B351" s="412" t="str">
        <f>IF('WIN LAYERS'!$C26="","",IF('WIN LAYERS'!$E26="Simple","! U-value.","! Calculation Type - Average or Spectral Data Set."))</f>
        <v/>
      </c>
      <c r="C351" s="412"/>
      <c r="D351" s="412"/>
    </row>
    <row r="352" spans="1:4">
      <c r="A352" s="412" t="str">
        <f>IF('WIN LAYERS'!$C26="","",IF('WIN LAYERS'!$E26="Simple","    "&amp;'WIN LAYERS'!$G26&amp;",",IF($A28="SpectralAverage,","     "&amp;'WIN LAYERS'!$I26&amp;",","    "&amp;'WIN LAYERS'!$I26&amp;" ,")))</f>
        <v/>
      </c>
      <c r="B352" s="412" t="str">
        <f>IF('WIN LAYERS'!$C26="","",IF('WIN LAYERS'!$E26="Simple","! SHGC.","! DataSet Name if Calc Type is Sprectral"))</f>
        <v/>
      </c>
      <c r="C352" s="412"/>
      <c r="D352" s="412"/>
    </row>
    <row r="353" spans="1:4">
      <c r="A353" s="412" t="str">
        <f>IF('WIN LAYERS'!$C26="","",IF('WIN LAYERS'!$E26="Simple","    "&amp;'WIN LAYERS'!$H26&amp;";","    "&amp;'WIN LAYERS'!$J26/1000&amp;","))</f>
        <v/>
      </c>
      <c r="B353" s="412" t="str">
        <f>IF('WIN LAYERS'!$C26="","",IF('WIN LAYERS'!$E26="Simple","! Visible Transmittance","! Thickness"))</f>
        <v/>
      </c>
      <c r="C353" s="412"/>
      <c r="D353" s="412"/>
    </row>
    <row r="354" spans="1:4">
      <c r="A354" s="412" t="str">
        <f>IF('WIN LAYERS'!$C26="","",IF('WIN LAYERS'!$E26="Simple","","    "&amp;'WIN LAYERS'!$K26&amp;","))</f>
        <v/>
      </c>
      <c r="B354" s="412" t="str">
        <f>IF(OR('WIN LAYERS'!$C26="",'WIN LAYERS'!$E26="Simple"),"","! Solar Transmittance at Normal Incidence")</f>
        <v/>
      </c>
      <c r="C354" s="412"/>
      <c r="D354" s="412"/>
    </row>
    <row r="355" spans="1:4">
      <c r="A355" s="412" t="str">
        <f>IF(OR('WIN LAYERS'!$C26="",'WIN LAYERS'!$E26="Simple"),"","    "&amp;'WIN LAYERS'!$L26&amp;",")</f>
        <v/>
      </c>
      <c r="B355" s="412" t="str">
        <f>IF(OR('WIN LAYERS'!$C26="",'WIN LAYERS'!$E26="Simple"),"","! Front Side Solar Reflectance at Normal Incidence")</f>
        <v/>
      </c>
      <c r="C355" s="412"/>
      <c r="D355" s="412"/>
    </row>
    <row r="356" spans="1:4">
      <c r="A356" s="412" t="str">
        <f>IF(OR('WIN LAYERS'!$C26="",'WIN LAYERS'!$E26="Simple"),"","    "&amp;'WIN LAYERS'!$M26&amp;",")</f>
        <v/>
      </c>
      <c r="B356" s="412" t="str">
        <f>IF(OR('WIN LAYERS'!$C26="",'WIN LAYERS'!$E26="Simple"),"","! Back Side Solar Reflectance at Normal Incidence")</f>
        <v/>
      </c>
      <c r="C356" s="412"/>
      <c r="D356" s="412"/>
    </row>
    <row r="357" spans="1:4">
      <c r="A357" s="412" t="str">
        <f>IF(OR('WIN LAYERS'!$C26="",'WIN LAYERS'!$E26="Simple"),"","    "&amp;'WIN LAYERS'!$N26&amp;",")</f>
        <v/>
      </c>
      <c r="B357" s="412" t="str">
        <f>IF(OR('WIN LAYERS'!$C26="",'WIN LAYERS'!$E26="Simple"),"","! Visible Transmittance at Normal Incidence")</f>
        <v/>
      </c>
      <c r="C357" s="412"/>
      <c r="D357" s="412"/>
    </row>
    <row r="358" spans="1:4">
      <c r="A358" s="412" t="str">
        <f>IF(OR('WIN LAYERS'!$C26="",'WIN LAYERS'!$E26="Simple"),"","    "&amp;'WIN LAYERS'!$O26&amp;",")</f>
        <v/>
      </c>
      <c r="B358" s="412" t="str">
        <f>IF(OR('WIN LAYERS'!$C26="",'WIN LAYERS'!$E26="Simple"),"","! Front Side Visible Reflectance at Normal Incidence")</f>
        <v/>
      </c>
    </row>
    <row r="359" spans="1:4">
      <c r="A359" s="412" t="str">
        <f>IF(OR('WIN LAYERS'!$C26="",'WIN LAYERS'!$E26="Simple"),"","    "&amp;'WIN LAYERS'!$P26&amp;",")</f>
        <v/>
      </c>
      <c r="B359" s="412" t="str">
        <f>IF(OR('WIN LAYERS'!$C26="",'WIN LAYERS'!$E26="Simple"),"","! Back Side Visible Reflectance at Normal Incidence")</f>
        <v/>
      </c>
    </row>
    <row r="360" spans="1:4">
      <c r="A360" s="412" t="str">
        <f>IF(OR('WIN LAYERS'!$C26="",'WIN LAYERS'!$E26="Simple"),"","    "&amp;'WIN LAYERS'!$Q26&amp;",")</f>
        <v/>
      </c>
      <c r="B360" s="412" t="str">
        <f>IF(OR('WIN LAYERS'!$C26="",'WIN LAYERS'!$E26="Simple"),"","! Infrared Transmittance at Normal Incidence")</f>
        <v/>
      </c>
    </row>
    <row r="361" spans="1:4">
      <c r="A361" s="412" t="str">
        <f>IF(OR('WIN LAYERS'!$C26="",'WIN LAYERS'!$E26="Simple"),"","    "&amp;'WIN LAYERS'!$R26&amp;",")</f>
        <v/>
      </c>
      <c r="B361" s="412" t="str">
        <f>IF(OR('WIN LAYERS'!$C26="",'WIN LAYERS'!$E26="Simple"),"","! Front Side Infrared Hemispherical Emissivity")</f>
        <v/>
      </c>
    </row>
    <row r="362" spans="1:4">
      <c r="A362" s="412" t="str">
        <f>IF(OR('WIN LAYERS'!$C26="",'WIN LAYERS'!$E26="Simple"),"","    "&amp;'WIN LAYERS'!$S26&amp;",")</f>
        <v/>
      </c>
      <c r="B362" s="412" t="str">
        <f>IF(OR('WIN LAYERS'!$C26="",'WIN LAYERS'!$E26="Simple"),"","! Back Side Infrared Hemispherical Emissivity")</f>
        <v/>
      </c>
    </row>
    <row r="363" spans="1:4">
      <c r="A363" s="412" t="str">
        <f>IF(OR('WIN LAYERS'!$C26="",'WIN LAYERS'!$E26="Simple"),"","    "&amp;'WIN LAYERS'!$T26&amp;",")</f>
        <v/>
      </c>
      <c r="B363" s="412" t="str">
        <f>IF(OR('WIN LAYERS'!$C26="",'WIN LAYERS'!$E26="Simple"),"","! Conductivity")</f>
        <v/>
      </c>
    </row>
    <row r="364" spans="1:4">
      <c r="A364" s="416" t="str">
        <f>IF(OR('WIN LAYERS'!$C26="",'WIN LAYERS'!$E26="Simple"),"","    "&amp;'WIN LAYERS'!$U26&amp;",")</f>
        <v/>
      </c>
      <c r="B364" s="412" t="str">
        <f>IF(OR('WIN LAYERS'!$C26="",'WIN LAYERS'!$E26="Simple"),"","! Dirt Correction Factor for Solar and Visible Transmittance")</f>
        <v/>
      </c>
    </row>
    <row r="365" spans="1:4">
      <c r="A365" s="412" t="str">
        <f>IF(OR('WIN LAYERS'!$C26="",'WIN LAYERS'!$E26="Simple"),"","    "&amp;'WIN LAYERS'!$V26&amp;";")</f>
        <v/>
      </c>
      <c r="B365" s="412" t="str">
        <f>IF(OR('WIN LAYERS'!$C26="",'WIN LAYERS'!$E26="Simple"),"","! Solar Diffusing? Translucent?")</f>
        <v/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8"/>
  <sheetViews>
    <sheetView zoomScaleNormal="100" zoomScalePageLayoutView="60" workbookViewId="0"/>
  </sheetViews>
  <sheetFormatPr defaultRowHeight="14.25"/>
  <cols>
    <col min="1" max="1" width="10" style="1"/>
    <col min="2" max="2" width="10.5" style="1"/>
    <col min="3" max="3" width="6.25" style="1"/>
    <col min="4" max="4" width="34.875" style="1"/>
    <col min="5" max="5" width="29.125" style="1"/>
    <col min="6" max="6" width="12" style="1"/>
    <col min="7" max="7" width="6.25" style="1"/>
    <col min="8" max="8" width="5.875" style="1"/>
    <col min="9" max="9" width="13.125" style="1"/>
    <col min="10" max="10" width="12" style="1"/>
    <col min="11" max="11" width="12.75" style="1"/>
    <col min="12" max="12" width="16" style="1"/>
    <col min="13" max="13" width="15.25" style="1"/>
    <col min="14" max="16" width="12" style="1"/>
    <col min="17" max="18" width="15.25" style="1"/>
    <col min="19" max="19" width="15.625" style="1"/>
    <col min="20" max="26" width="12" style="1"/>
    <col min="27" max="27" width="12.125" style="1"/>
    <col min="28" max="28" width="12" style="1"/>
    <col min="29" max="29" width="29.75" style="1"/>
    <col min="30" max="1025" width="12" style="1"/>
  </cols>
  <sheetData>
    <row r="1" spans="1:30" ht="48.6" customHeight="1">
      <c r="A1" s="417" t="s">
        <v>1150</v>
      </c>
      <c r="B1" s="412"/>
      <c r="C1" s="412"/>
      <c r="D1" s="412" t="s">
        <v>1151</v>
      </c>
      <c r="E1" s="412"/>
      <c r="F1" s="412" t="s">
        <v>1152</v>
      </c>
      <c r="G1" s="412" t="s">
        <v>1153</v>
      </c>
      <c r="H1" s="412" t="s">
        <v>1154</v>
      </c>
      <c r="I1" s="412" t="s">
        <v>649</v>
      </c>
      <c r="J1" s="412" t="s">
        <v>619</v>
      </c>
      <c r="K1" s="412" t="s">
        <v>620</v>
      </c>
      <c r="L1" s="412" t="s">
        <v>117</v>
      </c>
      <c r="M1" s="412" t="s">
        <v>118</v>
      </c>
      <c r="N1" s="412" t="s">
        <v>1155</v>
      </c>
      <c r="O1" s="412" t="s">
        <v>1156</v>
      </c>
      <c r="P1" s="412" t="s">
        <v>1157</v>
      </c>
      <c r="Q1" s="412"/>
      <c r="R1" s="412" t="s">
        <v>1158</v>
      </c>
      <c r="S1" s="412" t="s">
        <v>1159</v>
      </c>
      <c r="T1" s="412" t="s">
        <v>1160</v>
      </c>
      <c r="U1" s="412" t="s">
        <v>1161</v>
      </c>
      <c r="V1" s="412" t="s">
        <v>1162</v>
      </c>
      <c r="W1" s="412" t="s">
        <v>1163</v>
      </c>
      <c r="X1" s="412"/>
      <c r="Y1" s="412"/>
      <c r="Z1" s="412"/>
      <c r="AA1" s="412"/>
      <c r="AB1" s="412"/>
      <c r="AC1" s="412"/>
      <c r="AD1" s="412"/>
    </row>
    <row r="2" spans="1:30">
      <c r="A2" s="417"/>
      <c r="B2" s="412"/>
      <c r="C2" s="412">
        <f>MATERIALS!C7</f>
        <v>0</v>
      </c>
      <c r="D2" s="412" t="str">
        <f>IF(MATERIALS!D7="","",MATERIALS!D7)</f>
        <v>None</v>
      </c>
      <c r="E2" s="412" t="str">
        <f t="shared" ref="E2:E33" si="0">"Material "&amp;C2</f>
        <v>Material 0</v>
      </c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</row>
    <row r="3" spans="1:30">
      <c r="A3" s="412"/>
      <c r="B3" s="412"/>
      <c r="C3" s="412">
        <f>MATERIALS!C8</f>
        <v>1</v>
      </c>
      <c r="D3" s="412" t="str">
        <f>IF(MATERIALS!D8="","",MATERIALS!D8)</f>
        <v>AirSpace</v>
      </c>
      <c r="E3" s="412" t="str">
        <f t="shared" si="0"/>
        <v>Material 1</v>
      </c>
      <c r="F3" s="418">
        <f t="shared" ref="F3:F34" si="1">1/K3*J3/1000</f>
        <v>1E-3</v>
      </c>
      <c r="G3" s="412">
        <v>0.03</v>
      </c>
      <c r="H3" s="412">
        <f>MATERIALS!I8</f>
        <v>0</v>
      </c>
      <c r="I3" s="412" t="s">
        <v>633</v>
      </c>
      <c r="J3" s="412">
        <v>1</v>
      </c>
      <c r="K3" s="412">
        <v>1</v>
      </c>
      <c r="L3" s="412">
        <v>1</v>
      </c>
      <c r="M3" s="412">
        <v>1</v>
      </c>
      <c r="N3" s="412">
        <v>0.5</v>
      </c>
      <c r="O3" s="412" t="str">
        <f>IF(MATERIALS!M8="","",MATERIALS!M8)</f>
        <v/>
      </c>
      <c r="P3" s="412" t="str">
        <f>IF(MATERIALS!N8="","",MATERIALS!N8)</f>
        <v/>
      </c>
      <c r="Q3" s="412"/>
      <c r="R3" s="412">
        <v>1</v>
      </c>
      <c r="S3" s="419">
        <f>IF(AND(CONSTRUCTIONS!K7="",CONSTRUCTIONS!L7=""),"",IF(CONSTRUCTIONS!K7&lt;&gt;"",VLOOKUP(CONSTRUCTIONS!K7,MatlsData,4,0),VLOOKUP(CONSTRUCTIONS!L7,MatlsData,4,0)))</f>
        <v>0</v>
      </c>
      <c r="T3" s="419">
        <f>IF(AND(CONSTRUCTIONS!O7="",CONSTRUCTIONS!P7=""),"",IF(CONSTRUCTIONS!O7&lt;&gt;"",VLOOKUP(CONSTRUCTIONS!O7,MatlsData,4,0),VLOOKUP(CONSTRUCTIONS!P7,MatlsData,4,0)))</f>
        <v>0</v>
      </c>
      <c r="U3" s="419">
        <f>IF(AND(CONSTRUCTIONS!S7="",CONSTRUCTIONS!T7=""),"",IF(CONSTRUCTIONS!S7&lt;&gt;"",VLOOKUP(CONSTRUCTIONS!S7,MatlsData,4,0),VLOOKUP(CONSTRUCTIONS!T7,MatlsData,4,0)))</f>
        <v>0</v>
      </c>
      <c r="V3" s="419">
        <f>IF(AND(CONSTRUCTIONS!W7="",CONSTRUCTIONS!X7=""),"",IF(CONSTRUCTIONS!W7&lt;&gt;"",VLOOKUP(CONSTRUCTIONS!W7,MatlsData,4,0),VLOOKUP(CONSTRUCTIONS!X7,MatlsData,4,0)))</f>
        <v>0</v>
      </c>
      <c r="W3" s="419">
        <f>IF(AND(CONSTRUCTIONS!AA7="",CONSTRUCTIONS!AB7=""),"",IF(CONSTRUCTIONS!AA7&lt;&gt;"",VLOOKUP(CONSTRUCTIONS!AA7,MatlsData,4,0),VLOOKUP(CONSTRUCTIONS!AB7,MatlsData,4,0)))</f>
        <v>0</v>
      </c>
      <c r="X3" s="419"/>
      <c r="Y3" s="419"/>
      <c r="Z3" s="419"/>
      <c r="AA3" s="420"/>
      <c r="AC3" s="412"/>
      <c r="AD3" s="412"/>
    </row>
    <row r="4" spans="1:30">
      <c r="A4" s="412"/>
      <c r="B4" s="412"/>
      <c r="C4" s="412">
        <f>MATERIALS!C9</f>
        <v>2</v>
      </c>
      <c r="D4" s="412" t="str">
        <f>IF(MATERIALS!D9="","",MATERIALS!D9)</f>
        <v>Cellular glass insulation 75 mm</v>
      </c>
      <c r="E4" s="412" t="str">
        <f t="shared" si="0"/>
        <v>Material 2</v>
      </c>
      <c r="F4" s="418">
        <f t="shared" si="1"/>
        <v>1E-3</v>
      </c>
      <c r="G4" s="412">
        <v>0.03</v>
      </c>
      <c r="H4" s="412">
        <f>MATERIALS!I9</f>
        <v>75</v>
      </c>
      <c r="I4" s="412" t="s">
        <v>633</v>
      </c>
      <c r="J4" s="412">
        <v>1</v>
      </c>
      <c r="K4" s="412">
        <v>1</v>
      </c>
      <c r="L4" s="412">
        <v>1</v>
      </c>
      <c r="M4" s="412">
        <v>1</v>
      </c>
      <c r="N4" s="412">
        <f>IF(MATERIALS!L9="","",MATERIALS!L9)</f>
        <v>0.05</v>
      </c>
      <c r="O4" s="412" t="str">
        <f>IF(MATERIALS!M9="","",MATERIALS!M9)</f>
        <v/>
      </c>
      <c r="P4" s="412" t="str">
        <f>IF(MATERIALS!N9="","",MATERIALS!N9)</f>
        <v/>
      </c>
      <c r="Q4" s="412"/>
      <c r="R4" s="412">
        <f t="shared" ref="R4:R26" si="2">R3+1</f>
        <v>2</v>
      </c>
      <c r="S4" s="419">
        <f>IF(AND(CONSTRUCTIONS!K8="",CONSTRUCTIONS!L8=""),"",IF(CONSTRUCTIONS!K8&lt;&gt;"",VLOOKUP(CONSTRUCTIONS!K8,MatlsData,4,0),VLOOKUP(CONSTRUCTIONS!L8,MatlsData,4,0)))</f>
        <v>0</v>
      </c>
      <c r="T4" s="419" t="e">
        <f>IF(AND(CONSTRUCTIONS!O8="",CONSTRUCTIONS!P8=""),"",IF(CONSTRUCTIONS!O8&lt;&gt;"",VLOOKUP(CONSTRUCTIONS!O8,MatlsData,4,0),VLOOKUP(CONSTRUCTIONS!P8,MatlsData,4,0)))</f>
        <v>#N/A</v>
      </c>
      <c r="U4" s="419" t="e">
        <f>IF(AND(CONSTRUCTIONS!S8="",CONSTRUCTIONS!T8=""),"",IF(CONSTRUCTIONS!S8&lt;&gt;"",VLOOKUP(CONSTRUCTIONS!S8,MatlsData,4,0),VLOOKUP(CONSTRUCTIONS!T8,MatlsData,4,0)))</f>
        <v>#N/A</v>
      </c>
      <c r="V4" s="419" t="str">
        <f>IF(AND(CONSTRUCTIONS!W8="",CONSTRUCTIONS!X8=""),"",IF(CONSTRUCTIONS!W8&lt;&gt;"",VLOOKUP(CONSTRUCTIONS!W8,MatlsData,4,0),VLOOKUP(CONSTRUCTIONS!X8,MatlsData,4,0)))</f>
        <v/>
      </c>
      <c r="W4" s="419" t="str">
        <f>IF(AND(CONSTRUCTIONS!AA8="",CONSTRUCTIONS!AB8=""),"",IF(CONSTRUCTIONS!AA8&lt;&gt;"",VLOOKUP(CONSTRUCTIONS!AA8,MatlsData,4,0),VLOOKUP(CONSTRUCTIONS!AB8,MatlsData,4,0)))</f>
        <v/>
      </c>
      <c r="X4" s="419" t="str">
        <f>IF(AND(CONSTRUCTIONS!AE8="",CONSTRUCTIONS!AF8=""),"",IF(CONSTRUCTIONS!AE8&lt;&gt;"",VLOOKUP(CONSTRUCTIONS!AE8,MatlsData,4,0),VLOOKUP(CONSTRUCTIONS!AF8,MatlsData,4,0)))</f>
        <v/>
      </c>
      <c r="Y4" s="419" t="str">
        <f>IF(AND(CONSTRUCTIONS!AH8="",CONSTRUCTIONS!AI8=""),"",IF(CONSTRUCTIONS!AH8&lt;&gt;"",VLOOKUP(CONSTRUCTIONS!AH8,MatlsData,4,0),VLOOKUP(CONSTRUCTIONS!AI8,MatlsData,4,0)))</f>
        <v/>
      </c>
      <c r="Z4" s="419" t="str">
        <f>IF(AND(CONSTRUCTIONS!AK8="",CONSTRUCTIONS!AL8=""),"",IF(CONSTRUCTIONS!AK8&lt;&gt;"",VLOOKUP(CONSTRUCTIONS!AK8,MatlsData,4,0),VLOOKUP(CONSTRUCTIONS!AL8,MatlsData,4,0)))</f>
        <v/>
      </c>
      <c r="AA4" s="420"/>
      <c r="AB4" s="412"/>
      <c r="AC4" s="412"/>
      <c r="AD4" s="412"/>
    </row>
    <row r="5" spans="1:30">
      <c r="A5" s="412"/>
      <c r="B5" s="412"/>
      <c r="C5" s="412">
        <f>MATERIALS!C10</f>
        <v>3</v>
      </c>
      <c r="D5" s="412" t="str">
        <f>IF(MATERIALS!D10="","",MATERIALS!D10)</f>
        <v>16mm gypsum board</v>
      </c>
      <c r="E5" s="412" t="str">
        <f t="shared" si="0"/>
        <v>Material 3</v>
      </c>
      <c r="F5" s="418">
        <f t="shared" si="1"/>
        <v>1E-3</v>
      </c>
      <c r="G5" s="412">
        <v>0.03</v>
      </c>
      <c r="H5" s="412">
        <f>MATERIALS!I10</f>
        <v>15.9</v>
      </c>
      <c r="I5" s="412" t="s">
        <v>633</v>
      </c>
      <c r="J5" s="412">
        <v>1</v>
      </c>
      <c r="K5" s="412">
        <v>1</v>
      </c>
      <c r="L5" s="412">
        <v>1</v>
      </c>
      <c r="M5" s="412">
        <v>1</v>
      </c>
      <c r="N5" s="412">
        <f>IF(MATERIALS!L10="","",MATERIALS!L10)</f>
        <v>0.16</v>
      </c>
      <c r="O5" s="412" t="str">
        <f>IF(MATERIALS!M10="","",MATERIALS!M10)</f>
        <v/>
      </c>
      <c r="P5" s="412" t="str">
        <f>IF(MATERIALS!N10="","",MATERIALS!N10)</f>
        <v/>
      </c>
      <c r="Q5" s="412"/>
      <c r="R5" s="412">
        <f t="shared" si="2"/>
        <v>3</v>
      </c>
      <c r="S5" s="419" t="e">
        <f>IF(AND(CONSTRUCTIONS!K9="",CONSTRUCTIONS!L9=""),"",IF(CONSTRUCTIONS!K9&lt;&gt;"",VLOOKUP(CONSTRUCTIONS!K9,MatlsData,4,0),VLOOKUP(CONSTRUCTIONS!L9,MatlsData,4,0)))</f>
        <v>#N/A</v>
      </c>
      <c r="T5" s="419" t="e">
        <f>IF(AND(CONSTRUCTIONS!O9="",CONSTRUCTIONS!P9=""),"",IF(CONSTRUCTIONS!O9&lt;&gt;"",VLOOKUP(CONSTRUCTIONS!O9,MatlsData,4,0),VLOOKUP(CONSTRUCTIONS!P9,MatlsData,4,0)))</f>
        <v>#N/A</v>
      </c>
      <c r="U5" s="419" t="e">
        <f>IF(AND(CONSTRUCTIONS!S9="",CONSTRUCTIONS!T9=""),"",IF(CONSTRUCTIONS!S9&lt;&gt;"",VLOOKUP(CONSTRUCTIONS!S9,MatlsData,4,0),VLOOKUP(CONSTRUCTIONS!T9,MatlsData,4,0)))</f>
        <v>#N/A</v>
      </c>
      <c r="V5" s="419" t="e">
        <f>IF(AND(CONSTRUCTIONS!W9="",CONSTRUCTIONS!X9=""),"",IF(CONSTRUCTIONS!W9&lt;&gt;"",VLOOKUP(CONSTRUCTIONS!W9,MatlsData,4,0),VLOOKUP(CONSTRUCTIONS!X9,MatlsData,4,0)))</f>
        <v>#N/A</v>
      </c>
      <c r="W5" s="419" t="str">
        <f>IF(AND(CONSTRUCTIONS!AA9="",CONSTRUCTIONS!AB9=""),"",IF(CONSTRUCTIONS!AA9&lt;&gt;"",VLOOKUP(CONSTRUCTIONS!AA9,MatlsData,4,0),VLOOKUP(CONSTRUCTIONS!AB9,MatlsData,4,0)))</f>
        <v/>
      </c>
      <c r="X5" s="419" t="str">
        <f>IF(AND(CONSTRUCTIONS!AE9="",CONSTRUCTIONS!AF9=""),"",IF(CONSTRUCTIONS!AE9&lt;&gt;"",VLOOKUP(CONSTRUCTIONS!AE9,MatlsData,4,0),VLOOKUP(CONSTRUCTIONS!AF9,MatlsData,4,0)))</f>
        <v/>
      </c>
      <c r="Y5" s="419" t="str">
        <f>IF(AND(CONSTRUCTIONS!AH9="",CONSTRUCTIONS!AI9=""),"",IF(CONSTRUCTIONS!AH9&lt;&gt;"",VLOOKUP(CONSTRUCTIONS!AH9,MatlsData,4,0),VLOOKUP(CONSTRUCTIONS!AI9,MatlsData,4,0)))</f>
        <v/>
      </c>
      <c r="Z5" s="419" t="str">
        <f>IF(AND(CONSTRUCTIONS!AK9="",CONSTRUCTIONS!AL9=""),"",IF(CONSTRUCTIONS!AK9&lt;&gt;"",VLOOKUP(CONSTRUCTIONS!AK9,MatlsData,4,0),VLOOKUP(CONSTRUCTIONS!AL9,MatlsData,4,0)))</f>
        <v/>
      </c>
      <c r="AA5" s="420"/>
      <c r="AB5" s="412"/>
      <c r="AC5" s="412"/>
      <c r="AD5" s="412"/>
    </row>
    <row r="6" spans="1:30">
      <c r="A6" s="412"/>
      <c r="B6" s="412"/>
      <c r="C6" s="412">
        <f>MATERIALS!C11</f>
        <v>4</v>
      </c>
      <c r="D6" s="412" t="str">
        <f>IF(MATERIALS!D11="","",MATERIALS!D11)</f>
        <v>Built Up Roofing</v>
      </c>
      <c r="E6" s="412" t="str">
        <f t="shared" si="0"/>
        <v>Material 4</v>
      </c>
      <c r="F6" s="418">
        <f t="shared" si="1"/>
        <v>1E-3</v>
      </c>
      <c r="G6" s="412">
        <v>0.03</v>
      </c>
      <c r="H6" s="412">
        <f>MATERIALS!I11</f>
        <v>3.2</v>
      </c>
      <c r="I6" s="412" t="s">
        <v>633</v>
      </c>
      <c r="J6" s="412">
        <v>1</v>
      </c>
      <c r="K6" s="412">
        <v>1</v>
      </c>
      <c r="L6" s="412">
        <v>1</v>
      </c>
      <c r="M6" s="412">
        <v>1</v>
      </c>
      <c r="N6" s="412">
        <f>IF(MATERIALS!L11="","",MATERIALS!L11)</f>
        <v>0.04</v>
      </c>
      <c r="O6" s="412" t="str">
        <f>IF(MATERIALS!M11="","",MATERIALS!M11)</f>
        <v/>
      </c>
      <c r="P6" s="412" t="str">
        <f>IF(MATERIALS!N11="","",MATERIALS!N11)</f>
        <v/>
      </c>
      <c r="Q6" s="412"/>
      <c r="R6" s="412">
        <f t="shared" si="2"/>
        <v>4</v>
      </c>
      <c r="S6" s="419" t="e">
        <f>IF(AND(CONSTRUCTIONS!K10="",CONSTRUCTIONS!L10=""),"",IF(CONSTRUCTIONS!K10&lt;&gt;"",VLOOKUP(CONSTRUCTIONS!K10,MatlsData,4,0),VLOOKUP(CONSTRUCTIONS!L10,MatlsData,4,0)))</f>
        <v>#N/A</v>
      </c>
      <c r="T6" s="419" t="e">
        <f>IF(AND(CONSTRUCTIONS!O10="",CONSTRUCTIONS!P10=""),"",IF(CONSTRUCTIONS!O10&lt;&gt;"",VLOOKUP(CONSTRUCTIONS!O10,MatlsData,4,0),VLOOKUP(CONSTRUCTIONS!P10,MatlsData,4,0)))</f>
        <v>#N/A</v>
      </c>
      <c r="U6" s="419" t="e">
        <f>IF(AND(CONSTRUCTIONS!S10="",CONSTRUCTIONS!T10=""),"",IF(CONSTRUCTIONS!S10&lt;&gt;"",VLOOKUP(CONSTRUCTIONS!S10,MatlsData,4,0),VLOOKUP(CONSTRUCTIONS!T10,MatlsData,4,0)))</f>
        <v>#N/A</v>
      </c>
      <c r="V6" s="419" t="str">
        <f>IF(AND(CONSTRUCTIONS!W10="",CONSTRUCTIONS!X10=""),"",IF(CONSTRUCTIONS!W10&lt;&gt;"",VLOOKUP(CONSTRUCTIONS!W10,MatlsData,4,0),VLOOKUP(CONSTRUCTIONS!X10,MatlsData,4,0)))</f>
        <v/>
      </c>
      <c r="W6" s="419" t="str">
        <f>IF(AND(CONSTRUCTIONS!AA10="",CONSTRUCTIONS!AB10=""),"",IF(CONSTRUCTIONS!AA10&lt;&gt;"",VLOOKUP(CONSTRUCTIONS!AA10,MatlsData,4,0),VLOOKUP(CONSTRUCTIONS!AB10,MatlsData,4,0)))</f>
        <v/>
      </c>
      <c r="X6" s="419" t="str">
        <f>IF(AND(CONSTRUCTIONS!AE10="",CONSTRUCTIONS!AF10=""),"",IF(CONSTRUCTIONS!AE10&lt;&gt;"",VLOOKUP(CONSTRUCTIONS!AE10,MatlsData,4,0),VLOOKUP(CONSTRUCTIONS!AF10,MatlsData,4,0)))</f>
        <v/>
      </c>
      <c r="Y6" s="419" t="str">
        <f>IF(AND(CONSTRUCTIONS!AH10="",CONSTRUCTIONS!AI10=""),"",IF(CONSTRUCTIONS!AH10&lt;&gt;"",VLOOKUP(CONSTRUCTIONS!AH10,MatlsData,4,0),VLOOKUP(CONSTRUCTIONS!AI10,MatlsData,4,0)))</f>
        <v/>
      </c>
      <c r="Z6" s="419" t="str">
        <f>IF(AND(CONSTRUCTIONS!AK10="",CONSTRUCTIONS!AL10=""),"",IF(CONSTRUCTIONS!AK10&lt;&gt;"",VLOOKUP(CONSTRUCTIONS!AK10,MatlsData,4,0),VLOOKUP(CONSTRUCTIONS!AL10,MatlsData,4,0)))</f>
        <v/>
      </c>
      <c r="AA6" s="420"/>
      <c r="AB6" s="412" t="s">
        <v>1164</v>
      </c>
      <c r="AC6" s="412" t="s">
        <v>1165</v>
      </c>
      <c r="AD6" s="412"/>
    </row>
    <row r="7" spans="1:30">
      <c r="A7" s="412"/>
      <c r="B7" s="412"/>
      <c r="C7" s="412">
        <f>MATERIALS!C12</f>
        <v>5</v>
      </c>
      <c r="D7" s="412" t="str">
        <f>IF(MATERIALS!D12="","",MATERIALS!D12)</f>
        <v>Medium weight brick</v>
      </c>
      <c r="E7" s="412" t="str">
        <f t="shared" si="0"/>
        <v>Material 5</v>
      </c>
      <c r="F7" s="418">
        <f t="shared" si="1"/>
        <v>1E-3</v>
      </c>
      <c r="G7" s="412">
        <v>0.03</v>
      </c>
      <c r="H7" s="412">
        <f>MATERIALS!I12</f>
        <v>102</v>
      </c>
      <c r="I7" s="412" t="s">
        <v>633</v>
      </c>
      <c r="J7" s="412">
        <v>1</v>
      </c>
      <c r="K7" s="412">
        <v>1</v>
      </c>
      <c r="L7" s="412">
        <v>1</v>
      </c>
      <c r="M7" s="412">
        <v>1</v>
      </c>
      <c r="N7" s="412">
        <f>IF(MATERIALS!L12="","",MATERIALS!L12)</f>
        <v>0.78</v>
      </c>
      <c r="O7" s="412" t="str">
        <f>IF(MATERIALS!M12="","",MATERIALS!M12)</f>
        <v/>
      </c>
      <c r="P7" s="412" t="str">
        <f>IF(MATERIALS!N12="","",MATERIALS!N12)</f>
        <v/>
      </c>
      <c r="Q7" s="412"/>
      <c r="R7" s="412">
        <f t="shared" si="2"/>
        <v>5</v>
      </c>
      <c r="S7" s="419" t="e">
        <f>IF(AND(CONSTRUCTIONS!K11="",CONSTRUCTIONS!L11=""),"",IF(CONSTRUCTIONS!K11&lt;&gt;"",VLOOKUP(CONSTRUCTIONS!K11,MatlsData,4,0),VLOOKUP(CONSTRUCTIONS!L11,MatlsData,4,0)))</f>
        <v>#N/A</v>
      </c>
      <c r="T7" s="419" t="e">
        <f>IF(AND(CONSTRUCTIONS!O11="",CONSTRUCTIONS!P11=""),"",IF(CONSTRUCTIONS!O11&lt;&gt;"",VLOOKUP(CONSTRUCTIONS!O11,MatlsData,4,0),VLOOKUP(CONSTRUCTIONS!P11,MatlsData,4,0)))</f>
        <v>#N/A</v>
      </c>
      <c r="U7" s="419" t="e">
        <f>IF(AND(CONSTRUCTIONS!S11="",CONSTRUCTIONS!T11=""),"",IF(CONSTRUCTIONS!S11&lt;&gt;"",VLOOKUP(CONSTRUCTIONS!S11,MatlsData,4,0),VLOOKUP(CONSTRUCTIONS!T11,MatlsData,4,0)))</f>
        <v>#N/A</v>
      </c>
      <c r="V7" s="419" t="str">
        <f>IF(AND(CONSTRUCTIONS!W11="",CONSTRUCTIONS!X11=""),"",IF(CONSTRUCTIONS!W11&lt;&gt;"",VLOOKUP(CONSTRUCTIONS!W11,MatlsData,4,0),VLOOKUP(CONSTRUCTIONS!X11,MatlsData,4,0)))</f>
        <v/>
      </c>
      <c r="W7" s="419" t="str">
        <f>IF(AND(CONSTRUCTIONS!AA11="",CONSTRUCTIONS!AB11=""),"",IF(CONSTRUCTIONS!AA11&lt;&gt;"",VLOOKUP(CONSTRUCTIONS!AA11,MatlsData,4,0),VLOOKUP(CONSTRUCTIONS!AB11,MatlsData,4,0)))</f>
        <v/>
      </c>
      <c r="X7" s="419" t="str">
        <f>IF(AND(CONSTRUCTIONS!AE11="",CONSTRUCTIONS!AF11=""),"",IF(CONSTRUCTIONS!AE11&lt;&gt;"",VLOOKUP(CONSTRUCTIONS!AE11,MatlsData,4,0),VLOOKUP(CONSTRUCTIONS!AF11,MatlsData,4,0)))</f>
        <v/>
      </c>
      <c r="Y7" s="419" t="str">
        <f>IF(AND(CONSTRUCTIONS!AH11="",CONSTRUCTIONS!AI11=""),"",IF(CONSTRUCTIONS!AH11&lt;&gt;"",VLOOKUP(CONSTRUCTIONS!AH11,MatlsData,4,0),VLOOKUP(CONSTRUCTIONS!AI11,MatlsData,4,0)))</f>
        <v/>
      </c>
      <c r="Z7" s="419" t="str">
        <f>IF(AND(CONSTRUCTIONS!AK11="",CONSTRUCTIONS!AL11=""),"",IF(CONSTRUCTIONS!AK11&lt;&gt;"",VLOOKUP(CONSTRUCTIONS!AK11,MatlsData,4,0),VLOOKUP(CONSTRUCTIONS!AL11,MatlsData,4,0)))</f>
        <v/>
      </c>
      <c r="AA7" s="420"/>
      <c r="AB7" s="412" t="s">
        <v>1166</v>
      </c>
      <c r="AC7" s="412" t="s">
        <v>1167</v>
      </c>
      <c r="AD7" s="412"/>
    </row>
    <row r="8" spans="1:30">
      <c r="A8" s="412"/>
      <c r="B8" s="412"/>
      <c r="C8" s="412">
        <f>MATERIALS!C13</f>
        <v>6</v>
      </c>
      <c r="D8" s="412" t="str">
        <f>IF(MATERIALS!D13="","",MATERIALS!D13)</f>
        <v/>
      </c>
      <c r="E8" s="412" t="str">
        <f t="shared" si="0"/>
        <v>Material 6</v>
      </c>
      <c r="F8" s="418">
        <f t="shared" si="1"/>
        <v>1E-3</v>
      </c>
      <c r="G8" s="412">
        <v>0.03</v>
      </c>
      <c r="H8" s="412">
        <f>MATERIALS!I13</f>
        <v>0</v>
      </c>
      <c r="I8" s="412" t="s">
        <v>633</v>
      </c>
      <c r="J8" s="412">
        <v>1</v>
      </c>
      <c r="K8" s="412">
        <v>1</v>
      </c>
      <c r="L8" s="412">
        <v>1</v>
      </c>
      <c r="M8" s="412">
        <v>1</v>
      </c>
      <c r="N8" s="412" t="str">
        <f>IF(MATERIALS!L13="","",MATERIALS!L13)</f>
        <v/>
      </c>
      <c r="O8" s="412" t="str">
        <f>IF(MATERIALS!M13="","",MATERIALS!M13)</f>
        <v/>
      </c>
      <c r="P8" s="412" t="str">
        <f>IF(MATERIALS!N13="","",MATERIALS!N13)</f>
        <v/>
      </c>
      <c r="Q8" s="412"/>
      <c r="R8" s="412">
        <f t="shared" si="2"/>
        <v>6</v>
      </c>
      <c r="S8" s="419" t="e">
        <f>IF(AND(CONSTRUCTIONS!K12="",CONSTRUCTIONS!L12=""),"",IF(CONSTRUCTIONS!K12&lt;&gt;"",VLOOKUP(CONSTRUCTIONS!K12,MatlsData,4,0),VLOOKUP(CONSTRUCTIONS!L12,MatlsData,4,0)))</f>
        <v>#N/A</v>
      </c>
      <c r="T8" s="419" t="e">
        <f>IF(AND(CONSTRUCTIONS!O12="",CONSTRUCTIONS!P12=""),"",IF(CONSTRUCTIONS!O12&lt;&gt;"",VLOOKUP(CONSTRUCTIONS!O12,MatlsData,4,0),VLOOKUP(CONSTRUCTIONS!P12,MatlsData,4,0)))</f>
        <v>#N/A</v>
      </c>
      <c r="U8" s="419" t="e">
        <f>IF(AND(CONSTRUCTIONS!S12="",CONSTRUCTIONS!T12=""),"",IF(CONSTRUCTIONS!S12&lt;&gt;"",VLOOKUP(CONSTRUCTIONS!S12,MatlsData,4,0),VLOOKUP(CONSTRUCTIONS!T12,MatlsData,4,0)))</f>
        <v>#N/A</v>
      </c>
      <c r="V8" s="419" t="str">
        <f>IF(AND(CONSTRUCTIONS!W12="",CONSTRUCTIONS!X12=""),"",IF(CONSTRUCTIONS!W12&lt;&gt;"",VLOOKUP(CONSTRUCTIONS!W12,MatlsData,4,0),VLOOKUP(CONSTRUCTIONS!X12,MatlsData,4,0)))</f>
        <v/>
      </c>
      <c r="W8" s="419" t="str">
        <f>IF(AND(CONSTRUCTIONS!AA12="",CONSTRUCTIONS!AB12=""),"",IF(CONSTRUCTIONS!AA12&lt;&gt;"",VLOOKUP(CONSTRUCTIONS!AA12,MatlsData,4,0),VLOOKUP(CONSTRUCTIONS!AB12,MatlsData,4,0)))</f>
        <v/>
      </c>
      <c r="X8" s="419" t="str">
        <f>IF(AND(CONSTRUCTIONS!AE12="",CONSTRUCTIONS!AF12=""),"",IF(CONSTRUCTIONS!AE12&lt;&gt;"",VLOOKUP(CONSTRUCTIONS!AE12,MatlsData,4,0),VLOOKUP(CONSTRUCTIONS!AF12,MatlsData,4,0)))</f>
        <v/>
      </c>
      <c r="Y8" s="419" t="str">
        <f>IF(AND(CONSTRUCTIONS!AH12="",CONSTRUCTIONS!AI12=""),"",IF(CONSTRUCTIONS!AH12&lt;&gt;"",VLOOKUP(CONSTRUCTIONS!AH12,MatlsData,4,0),VLOOKUP(CONSTRUCTIONS!AI12,MatlsData,4,0)))</f>
        <v/>
      </c>
      <c r="Z8" s="419" t="str">
        <f>IF(AND(CONSTRUCTIONS!AK12="",CONSTRUCTIONS!AL12=""),"",IF(CONSTRUCTIONS!AK12&lt;&gt;"",VLOOKUP(CONSTRUCTIONS!AK12,MatlsData,4,0),VLOOKUP(CONSTRUCTIONS!AL12,MatlsData,4,0)))</f>
        <v/>
      </c>
      <c r="AA8" s="420"/>
      <c r="AB8" s="412"/>
      <c r="AC8" s="412"/>
      <c r="AD8" s="412"/>
    </row>
    <row r="9" spans="1:30">
      <c r="A9" s="412"/>
      <c r="B9" s="412"/>
      <c r="C9" s="412">
        <f>MATERIALS!C14</f>
        <v>7</v>
      </c>
      <c r="D9" s="412" t="str">
        <f>IF(MATERIALS!D14="","",MATERIALS!D14)</f>
        <v/>
      </c>
      <c r="E9" s="412" t="str">
        <f t="shared" si="0"/>
        <v>Material 7</v>
      </c>
      <c r="F9" s="418">
        <f t="shared" si="1"/>
        <v>1E-3</v>
      </c>
      <c r="G9" s="412">
        <v>0.03</v>
      </c>
      <c r="H9" s="412">
        <f>MATERIALS!I14</f>
        <v>0</v>
      </c>
      <c r="I9" s="412" t="s">
        <v>633</v>
      </c>
      <c r="J9" s="412">
        <v>1</v>
      </c>
      <c r="K9" s="412">
        <v>1</v>
      </c>
      <c r="L9" s="412">
        <v>1</v>
      </c>
      <c r="M9" s="412">
        <v>1</v>
      </c>
      <c r="N9" s="412" t="str">
        <f>IF(MATERIALS!L14="","",MATERIALS!L14)</f>
        <v/>
      </c>
      <c r="O9" s="412" t="str">
        <f>IF(MATERIALS!M14="","",MATERIALS!M14)</f>
        <v/>
      </c>
      <c r="P9" s="412" t="str">
        <f>IF(MATERIALS!N14="","",MATERIALS!N14)</f>
        <v/>
      </c>
      <c r="Q9" s="412"/>
      <c r="R9" s="412">
        <f t="shared" si="2"/>
        <v>7</v>
      </c>
      <c r="S9" s="419" t="e">
        <f>IF(AND(CONSTRUCTIONS!K13="",CONSTRUCTIONS!L13=""),"",IF(CONSTRUCTIONS!K13&lt;&gt;"",VLOOKUP(CONSTRUCTIONS!K13,MatlsData,4,0),VLOOKUP(CONSTRUCTIONS!L13,MatlsData,4,0)))</f>
        <v>#N/A</v>
      </c>
      <c r="T9" s="419" t="e">
        <f>IF(AND(CONSTRUCTIONS!O13="",CONSTRUCTIONS!P13=""),"",IF(CONSTRUCTIONS!O13&lt;&gt;"",VLOOKUP(CONSTRUCTIONS!O13,MatlsData,4,0),VLOOKUP(CONSTRUCTIONS!P13,MatlsData,4,0)))</f>
        <v>#N/A</v>
      </c>
      <c r="U9" s="419" t="e">
        <f>IF(AND(CONSTRUCTIONS!S13="",CONSTRUCTIONS!T13=""),"",IF(CONSTRUCTIONS!S13&lt;&gt;"",VLOOKUP(CONSTRUCTIONS!S13,MatlsData,4,0),VLOOKUP(CONSTRUCTIONS!T13,MatlsData,4,0)))</f>
        <v>#N/A</v>
      </c>
      <c r="V9" s="419" t="str">
        <f>IF(AND(CONSTRUCTIONS!W13="",CONSTRUCTIONS!X13=""),"",IF(CONSTRUCTIONS!W13&lt;&gt;"",VLOOKUP(CONSTRUCTIONS!W13,MatlsData,4,0),VLOOKUP(CONSTRUCTIONS!X13,MatlsData,4,0)))</f>
        <v/>
      </c>
      <c r="W9" s="419" t="str">
        <f>IF(AND(CONSTRUCTIONS!AA13="",CONSTRUCTIONS!AB13=""),"",IF(CONSTRUCTIONS!AA13&lt;&gt;"",VLOOKUP(CONSTRUCTIONS!AA13,MatlsData,4,0),VLOOKUP(CONSTRUCTIONS!AB13,MatlsData,4,0)))</f>
        <v/>
      </c>
      <c r="X9" s="419" t="str">
        <f>IF(AND(CONSTRUCTIONS!AE13="",CONSTRUCTIONS!AF13=""),"",IF(CONSTRUCTIONS!AE13&lt;&gt;"",VLOOKUP(CONSTRUCTIONS!AE13,MatlsData,4,0),VLOOKUP(CONSTRUCTIONS!AF13,MatlsData,4,0)))</f>
        <v/>
      </c>
      <c r="Y9" s="419" t="str">
        <f>IF(AND(CONSTRUCTIONS!AH13="",CONSTRUCTIONS!AI13=""),"",IF(CONSTRUCTIONS!AH13&lt;&gt;"",VLOOKUP(CONSTRUCTIONS!AH13,MatlsData,4,0),VLOOKUP(CONSTRUCTIONS!AI13,MatlsData,4,0)))</f>
        <v/>
      </c>
      <c r="Z9" s="419" t="str">
        <f>IF(AND(CONSTRUCTIONS!AK13="",CONSTRUCTIONS!AL13=""),"",IF(CONSTRUCTIONS!AK13&lt;&gt;"",VLOOKUP(CONSTRUCTIONS!AK13,MatlsData,4,0),VLOOKUP(CONSTRUCTIONS!AL13,MatlsData,4,0)))</f>
        <v/>
      </c>
      <c r="AA9" s="420"/>
      <c r="AB9" s="412"/>
      <c r="AC9" s="412"/>
      <c r="AD9" s="412"/>
    </row>
    <row r="10" spans="1:30">
      <c r="A10" s="412"/>
      <c r="B10" s="412"/>
      <c r="C10" s="412">
        <f>MATERIALS!C15</f>
        <v>8</v>
      </c>
      <c r="D10" s="412" t="str">
        <f>IF(MATERIALS!D15="","",MATERIALS!D15)</f>
        <v/>
      </c>
      <c r="E10" s="412" t="str">
        <f t="shared" si="0"/>
        <v>Material 8</v>
      </c>
      <c r="F10" s="418">
        <f t="shared" si="1"/>
        <v>1E-3</v>
      </c>
      <c r="G10" s="412">
        <v>0.03</v>
      </c>
      <c r="H10" s="412">
        <f>MATERIALS!I15</f>
        <v>0</v>
      </c>
      <c r="I10" s="412" t="s">
        <v>633</v>
      </c>
      <c r="J10" s="412">
        <v>1</v>
      </c>
      <c r="K10" s="412">
        <v>1</v>
      </c>
      <c r="L10" s="412">
        <v>1</v>
      </c>
      <c r="M10" s="412">
        <v>1</v>
      </c>
      <c r="N10" s="412" t="str">
        <f>IF(MATERIALS!L15="","",MATERIALS!L15)</f>
        <v/>
      </c>
      <c r="O10" s="412" t="str">
        <f>IF(MATERIALS!M15="","",MATERIALS!M15)</f>
        <v/>
      </c>
      <c r="P10" s="412" t="str">
        <f>IF(MATERIALS!N15="","",MATERIALS!N15)</f>
        <v/>
      </c>
      <c r="Q10" s="412"/>
      <c r="R10" s="412">
        <f t="shared" si="2"/>
        <v>8</v>
      </c>
      <c r="S10" s="419" t="e">
        <f>IF(AND(CONSTRUCTIONS!K14="",CONSTRUCTIONS!L14=""),"",IF(CONSTRUCTIONS!K14&lt;&gt;"",VLOOKUP(CONSTRUCTIONS!K14,MatlsData,4,0),VLOOKUP(CONSTRUCTIONS!L14,MatlsData,4,0)))</f>
        <v>#N/A</v>
      </c>
      <c r="T10" s="419" t="e">
        <f>IF(AND(CONSTRUCTIONS!O14="",CONSTRUCTIONS!P14=""),"",IF(CONSTRUCTIONS!O14&lt;&gt;"",VLOOKUP(CONSTRUCTIONS!O14,MatlsData,4,0),VLOOKUP(CONSTRUCTIONS!P14,MatlsData,4,0)))</f>
        <v>#N/A</v>
      </c>
      <c r="U10" s="419" t="e">
        <f>IF(AND(CONSTRUCTIONS!S14="",CONSTRUCTIONS!T14=""),"",IF(CONSTRUCTIONS!S14&lt;&gt;"",VLOOKUP(CONSTRUCTIONS!S14,MatlsData,4,0),VLOOKUP(CONSTRUCTIONS!T14,MatlsData,4,0)))</f>
        <v>#N/A</v>
      </c>
      <c r="V10" s="419" t="str">
        <f>IF(AND(CONSTRUCTIONS!W14="",CONSTRUCTIONS!X14=""),"",IF(CONSTRUCTIONS!W14&lt;&gt;"",VLOOKUP(CONSTRUCTIONS!W14,MatlsData,4,0),VLOOKUP(CONSTRUCTIONS!X14,MatlsData,4,0)))</f>
        <v/>
      </c>
      <c r="W10" s="419" t="str">
        <f>IF(AND(CONSTRUCTIONS!AA14="",CONSTRUCTIONS!AB14=""),"",IF(CONSTRUCTIONS!AA14&lt;&gt;"",VLOOKUP(CONSTRUCTIONS!AA14,MatlsData,4,0),VLOOKUP(CONSTRUCTIONS!AB14,MatlsData,4,0)))</f>
        <v/>
      </c>
      <c r="X10" s="419" t="str">
        <f>IF(AND(CONSTRUCTIONS!AE14="",CONSTRUCTIONS!AF14=""),"",IF(CONSTRUCTIONS!AE14&lt;&gt;"",VLOOKUP(CONSTRUCTIONS!AE14,MatlsData,4,0),VLOOKUP(CONSTRUCTIONS!AF14,MatlsData,4,0)))</f>
        <v/>
      </c>
      <c r="Y10" s="419" t="str">
        <f>IF(AND(CONSTRUCTIONS!AH14="",CONSTRUCTIONS!AI14=""),"",IF(CONSTRUCTIONS!AH14&lt;&gt;"",VLOOKUP(CONSTRUCTIONS!AH14,MatlsData,4,0),VLOOKUP(CONSTRUCTIONS!AI14,MatlsData,4,0)))</f>
        <v/>
      </c>
      <c r="Z10" s="419" t="str">
        <f>IF(AND(CONSTRUCTIONS!AK14="",CONSTRUCTIONS!AL14=""),"",IF(CONSTRUCTIONS!AK14&lt;&gt;"",VLOOKUP(CONSTRUCTIONS!AK14,MatlsData,4,0),VLOOKUP(CONSTRUCTIONS!AL14,MatlsData,4,0)))</f>
        <v/>
      </c>
      <c r="AA10" s="420"/>
      <c r="AB10" s="412"/>
      <c r="AC10" s="412"/>
      <c r="AD10" s="412"/>
    </row>
    <row r="11" spans="1:30">
      <c r="A11" s="412"/>
      <c r="B11" s="412"/>
      <c r="C11" s="412">
        <f>MATERIALS!C16</f>
        <v>9</v>
      </c>
      <c r="D11" s="412" t="str">
        <f>IF(MATERIALS!D16="","",MATERIALS!D16)</f>
        <v/>
      </c>
      <c r="E11" s="412" t="str">
        <f t="shared" si="0"/>
        <v>Material 9</v>
      </c>
      <c r="F11" s="418">
        <f t="shared" si="1"/>
        <v>1E-3</v>
      </c>
      <c r="G11" s="412">
        <v>0.03</v>
      </c>
      <c r="H11" s="412">
        <f>MATERIALS!I16</f>
        <v>0</v>
      </c>
      <c r="I11" s="412" t="s">
        <v>633</v>
      </c>
      <c r="J11" s="412">
        <v>1</v>
      </c>
      <c r="K11" s="412">
        <v>1</v>
      </c>
      <c r="L11" s="412">
        <v>1</v>
      </c>
      <c r="M11" s="412">
        <v>1</v>
      </c>
      <c r="N11" s="412" t="str">
        <f>IF(MATERIALS!L16="","",MATERIALS!L16)</f>
        <v/>
      </c>
      <c r="O11" s="412" t="str">
        <f>IF(MATERIALS!M16="","",MATERIALS!M16)</f>
        <v/>
      </c>
      <c r="P11" s="412" t="str">
        <f>IF(MATERIALS!N16="","",MATERIALS!N16)</f>
        <v/>
      </c>
      <c r="Q11" s="412"/>
      <c r="R11" s="412">
        <f t="shared" si="2"/>
        <v>9</v>
      </c>
      <c r="S11" s="419" t="e">
        <f>IF(AND(CONSTRUCTIONS!K15="",CONSTRUCTIONS!L15=""),"",IF(CONSTRUCTIONS!K15&lt;&gt;"",VLOOKUP(CONSTRUCTIONS!K15,MatlsData,4,0),VLOOKUP(CONSTRUCTIONS!L15,MatlsData,4,0)))</f>
        <v>#N/A</v>
      </c>
      <c r="T11" s="419" t="e">
        <f>IF(AND(CONSTRUCTIONS!O15="",CONSTRUCTIONS!P15=""),"",IF(CONSTRUCTIONS!O15&lt;&gt;"",VLOOKUP(CONSTRUCTIONS!O15,MatlsData,4,0),VLOOKUP(CONSTRUCTIONS!P15,MatlsData,4,0)))</f>
        <v>#N/A</v>
      </c>
      <c r="U11" s="419" t="e">
        <f>IF(AND(CONSTRUCTIONS!S15="",CONSTRUCTIONS!T15=""),"",IF(CONSTRUCTIONS!S15&lt;&gt;"",VLOOKUP(CONSTRUCTIONS!S15,MatlsData,4,0),VLOOKUP(CONSTRUCTIONS!T15,MatlsData,4,0)))</f>
        <v>#N/A</v>
      </c>
      <c r="V11" s="419" t="str">
        <f>IF(AND(CONSTRUCTIONS!W15="",CONSTRUCTIONS!X15=""),"",IF(CONSTRUCTIONS!W15&lt;&gt;"",VLOOKUP(CONSTRUCTIONS!W15,MatlsData,4,0),VLOOKUP(CONSTRUCTIONS!X15,MatlsData,4,0)))</f>
        <v/>
      </c>
      <c r="W11" s="419" t="str">
        <f>IF(AND(CONSTRUCTIONS!AA15="",CONSTRUCTIONS!AB15=""),"",IF(CONSTRUCTIONS!AA15&lt;&gt;"",VLOOKUP(CONSTRUCTIONS!AA15,MatlsData,4,0),VLOOKUP(CONSTRUCTIONS!AB15,MatlsData,4,0)))</f>
        <v/>
      </c>
      <c r="X11" s="419" t="str">
        <f>IF(AND(CONSTRUCTIONS!AE15="",CONSTRUCTIONS!AF15=""),"",IF(CONSTRUCTIONS!AE15&lt;&gt;"",VLOOKUP(CONSTRUCTIONS!AE15,MatlsData,4,0),VLOOKUP(CONSTRUCTIONS!AF15,MatlsData,4,0)))</f>
        <v/>
      </c>
      <c r="Y11" s="419" t="str">
        <f>IF(AND(CONSTRUCTIONS!AH15="",CONSTRUCTIONS!AI15=""),"",IF(CONSTRUCTIONS!AH15&lt;&gt;"",VLOOKUP(CONSTRUCTIONS!AH15,MatlsData,4,0),VLOOKUP(CONSTRUCTIONS!AI15,MatlsData,4,0)))</f>
        <v/>
      </c>
      <c r="Z11" s="419" t="str">
        <f>IF(AND(CONSTRUCTIONS!AK15="",CONSTRUCTIONS!AL15=""),"",IF(CONSTRUCTIONS!AK15&lt;&gt;"",VLOOKUP(CONSTRUCTIONS!AK15,MatlsData,4,0),VLOOKUP(CONSTRUCTIONS!AL15,MatlsData,4,0)))</f>
        <v/>
      </c>
      <c r="AA11" s="420"/>
      <c r="AB11" s="412"/>
      <c r="AC11" s="412"/>
      <c r="AD11" s="412"/>
    </row>
    <row r="12" spans="1:30">
      <c r="A12" s="412"/>
      <c r="B12" s="412"/>
      <c r="C12" s="412">
        <f>MATERIALS!C17</f>
        <v>10</v>
      </c>
      <c r="D12" s="412" t="str">
        <f>IF(MATERIALS!D17="","",MATERIALS!D17)</f>
        <v/>
      </c>
      <c r="E12" s="412" t="str">
        <f t="shared" si="0"/>
        <v>Material 10</v>
      </c>
      <c r="F12" s="418">
        <f t="shared" si="1"/>
        <v>1E-3</v>
      </c>
      <c r="G12" s="412">
        <v>0.03</v>
      </c>
      <c r="H12" s="412">
        <f>MATERIALS!I17</f>
        <v>0</v>
      </c>
      <c r="I12" s="412" t="s">
        <v>633</v>
      </c>
      <c r="J12" s="412">
        <v>1</v>
      </c>
      <c r="K12" s="412">
        <v>1</v>
      </c>
      <c r="L12" s="412">
        <v>1</v>
      </c>
      <c r="M12" s="412">
        <v>1</v>
      </c>
      <c r="N12" s="412" t="str">
        <f>IF(MATERIALS!L17="","",MATERIALS!L17)</f>
        <v/>
      </c>
      <c r="O12" s="412" t="str">
        <f>IF(MATERIALS!M17="","",MATERIALS!M17)</f>
        <v/>
      </c>
      <c r="P12" s="412" t="str">
        <f>IF(MATERIALS!N17="","",MATERIALS!N17)</f>
        <v/>
      </c>
      <c r="Q12" s="412"/>
      <c r="R12" s="412">
        <f t="shared" si="2"/>
        <v>10</v>
      </c>
      <c r="S12" s="419" t="e">
        <f>IF(AND(CONSTRUCTIONS!K16="",CONSTRUCTIONS!L16=""),"",IF(CONSTRUCTIONS!K16&lt;&gt;"",VLOOKUP(CONSTRUCTIONS!K16,MatlsData,4,0),VLOOKUP(CONSTRUCTIONS!L16,MatlsData,4,0)))</f>
        <v>#N/A</v>
      </c>
      <c r="T12" s="419" t="e">
        <f>IF(AND(CONSTRUCTIONS!O16="",CONSTRUCTIONS!P16=""),"",IF(CONSTRUCTIONS!O16&lt;&gt;"",VLOOKUP(CONSTRUCTIONS!O16,MatlsData,4,0),VLOOKUP(CONSTRUCTIONS!P16,MatlsData,4,0)))</f>
        <v>#N/A</v>
      </c>
      <c r="U12" s="419" t="e">
        <f>IF(AND(CONSTRUCTIONS!S16="",CONSTRUCTIONS!T16=""),"",IF(CONSTRUCTIONS!S16&lt;&gt;"",VLOOKUP(CONSTRUCTIONS!S16,MatlsData,4,0),VLOOKUP(CONSTRUCTIONS!T16,MatlsData,4,0)))</f>
        <v>#N/A</v>
      </c>
      <c r="V12" s="419" t="str">
        <f>IF(AND(CONSTRUCTIONS!W16="",CONSTRUCTIONS!X16=""),"",IF(CONSTRUCTIONS!W16&lt;&gt;"",VLOOKUP(CONSTRUCTIONS!W16,MatlsData,4,0),VLOOKUP(CONSTRUCTIONS!X16,MatlsData,4,0)))</f>
        <v/>
      </c>
      <c r="W12" s="419" t="str">
        <f>IF(AND(CONSTRUCTIONS!AA16="",CONSTRUCTIONS!AB16=""),"",IF(CONSTRUCTIONS!AA16&lt;&gt;"",VLOOKUP(CONSTRUCTIONS!AA16,MatlsData,4,0),VLOOKUP(CONSTRUCTIONS!AB16,MatlsData,4,0)))</f>
        <v/>
      </c>
      <c r="X12" s="419" t="str">
        <f>IF(AND(CONSTRUCTIONS!AE16="",CONSTRUCTIONS!AF16=""),"",IF(CONSTRUCTIONS!AE16&lt;&gt;"",VLOOKUP(CONSTRUCTIONS!AE16,MatlsData,4,0),VLOOKUP(CONSTRUCTIONS!AF16,MatlsData,4,0)))</f>
        <v/>
      </c>
      <c r="Y12" s="419" t="str">
        <f>IF(AND(CONSTRUCTIONS!AH16="",CONSTRUCTIONS!AI16=""),"",IF(CONSTRUCTIONS!AH16&lt;&gt;"",VLOOKUP(CONSTRUCTIONS!AH16,MatlsData,4,0),VLOOKUP(CONSTRUCTIONS!AI16,MatlsData,4,0)))</f>
        <v/>
      </c>
      <c r="Z12" s="419" t="str">
        <f>IF(AND(CONSTRUCTIONS!AK16="",CONSTRUCTIONS!AL16=""),"",IF(CONSTRUCTIONS!AK16&lt;&gt;"",VLOOKUP(CONSTRUCTIONS!AK16,MatlsData,4,0),VLOOKUP(CONSTRUCTIONS!AL16,MatlsData,4,0)))</f>
        <v/>
      </c>
      <c r="AA12" s="420"/>
      <c r="AB12" s="412"/>
      <c r="AC12" s="412"/>
      <c r="AD12" s="412"/>
    </row>
    <row r="13" spans="1:30">
      <c r="A13" s="412"/>
      <c r="B13" s="412"/>
      <c r="C13" s="412">
        <f>MATERIALS!C18</f>
        <v>11</v>
      </c>
      <c r="D13" s="412" t="str">
        <f>IF(MATERIALS!D18="","",MATERIALS!D18)</f>
        <v/>
      </c>
      <c r="E13" s="412" t="str">
        <f t="shared" si="0"/>
        <v>Material 11</v>
      </c>
      <c r="F13" s="418">
        <f t="shared" si="1"/>
        <v>1E-3</v>
      </c>
      <c r="G13" s="412">
        <v>0.03</v>
      </c>
      <c r="H13" s="412">
        <f>MATERIALS!I18</f>
        <v>0</v>
      </c>
      <c r="I13" s="412" t="s">
        <v>633</v>
      </c>
      <c r="J13" s="412">
        <v>1</v>
      </c>
      <c r="K13" s="412">
        <v>1</v>
      </c>
      <c r="L13" s="412">
        <v>1</v>
      </c>
      <c r="M13" s="412">
        <v>1</v>
      </c>
      <c r="N13" s="412" t="str">
        <f>IF(MATERIALS!L18="","",MATERIALS!L18)</f>
        <v/>
      </c>
      <c r="O13" s="412" t="str">
        <f>IF(MATERIALS!M18="","",MATERIALS!M18)</f>
        <v/>
      </c>
      <c r="P13" s="412" t="str">
        <f>IF(MATERIALS!N18="","",MATERIALS!N18)</f>
        <v/>
      </c>
      <c r="Q13" s="412"/>
      <c r="R13" s="412">
        <f t="shared" si="2"/>
        <v>11</v>
      </c>
      <c r="S13" s="419" t="e">
        <f>IF(AND(CONSTRUCTIONS!K17="",CONSTRUCTIONS!L17=""),"",IF(CONSTRUCTIONS!K17&lt;&gt;"",VLOOKUP(CONSTRUCTIONS!K17,MatlsData,4,0),VLOOKUP(CONSTRUCTIONS!L17,MatlsData,4,0)))</f>
        <v>#N/A</v>
      </c>
      <c r="T13" s="419" t="e">
        <f>IF(AND(CONSTRUCTIONS!O17="",CONSTRUCTIONS!P17=""),"",IF(CONSTRUCTIONS!O17&lt;&gt;"",VLOOKUP(CONSTRUCTIONS!O17,MatlsData,4,0),VLOOKUP(CONSTRUCTIONS!P17,MatlsData,4,0)))</f>
        <v>#N/A</v>
      </c>
      <c r="U13" s="419" t="e">
        <f>IF(AND(CONSTRUCTIONS!S17="",CONSTRUCTIONS!T17=""),"",IF(CONSTRUCTIONS!S17&lt;&gt;"",VLOOKUP(CONSTRUCTIONS!S17,MatlsData,4,0),VLOOKUP(CONSTRUCTIONS!T17,MatlsData,4,0)))</f>
        <v>#N/A</v>
      </c>
      <c r="V13" s="419" t="str">
        <f>IF(AND(CONSTRUCTIONS!W17="",CONSTRUCTIONS!X17=""),"",IF(CONSTRUCTIONS!W17&lt;&gt;"",VLOOKUP(CONSTRUCTIONS!W17,MatlsData,4,0),VLOOKUP(CONSTRUCTIONS!X17,MatlsData,4,0)))</f>
        <v/>
      </c>
      <c r="W13" s="419" t="str">
        <f>IF(AND(CONSTRUCTIONS!AA17="",CONSTRUCTIONS!AB17=""),"",IF(CONSTRUCTIONS!AA17&lt;&gt;"",VLOOKUP(CONSTRUCTIONS!AA17,MatlsData,4,0),VLOOKUP(CONSTRUCTIONS!AB17,MatlsData,4,0)))</f>
        <v/>
      </c>
      <c r="X13" s="419" t="str">
        <f>IF(AND(CONSTRUCTIONS!AE17="",CONSTRUCTIONS!AF17=""),"",IF(CONSTRUCTIONS!AE17&lt;&gt;"",VLOOKUP(CONSTRUCTIONS!AE17,MatlsData,4,0),VLOOKUP(CONSTRUCTIONS!AF17,MatlsData,4,0)))</f>
        <v/>
      </c>
      <c r="Y13" s="419" t="str">
        <f>IF(AND(CONSTRUCTIONS!AH17="",CONSTRUCTIONS!AI17=""),"",IF(CONSTRUCTIONS!AH17&lt;&gt;"",VLOOKUP(CONSTRUCTIONS!AH17,MatlsData,4,0),VLOOKUP(CONSTRUCTIONS!AI17,MatlsData,4,0)))</f>
        <v/>
      </c>
      <c r="Z13" s="419" t="str">
        <f>IF(AND(CONSTRUCTIONS!AK17="",CONSTRUCTIONS!AL17=""),"",IF(CONSTRUCTIONS!AK17&lt;&gt;"",VLOOKUP(CONSTRUCTIONS!AK17,MatlsData,4,0),VLOOKUP(CONSTRUCTIONS!AL17,MatlsData,4,0)))</f>
        <v/>
      </c>
      <c r="AA13" s="420"/>
      <c r="AB13" s="412"/>
      <c r="AC13" s="412"/>
      <c r="AD13" s="412"/>
    </row>
    <row r="14" spans="1:30">
      <c r="A14" s="412"/>
      <c r="B14" s="412"/>
      <c r="C14" s="412">
        <f>MATERIALS!C19</f>
        <v>12</v>
      </c>
      <c r="D14" s="412" t="str">
        <f>IF(MATERIALS!D19="","",MATERIALS!D19)</f>
        <v/>
      </c>
      <c r="E14" s="412" t="str">
        <f t="shared" si="0"/>
        <v>Material 12</v>
      </c>
      <c r="F14" s="418">
        <f t="shared" si="1"/>
        <v>1E-3</v>
      </c>
      <c r="G14" s="412">
        <v>0.03</v>
      </c>
      <c r="H14" s="412">
        <f>MATERIALS!I19</f>
        <v>0</v>
      </c>
      <c r="I14" s="412" t="s">
        <v>633</v>
      </c>
      <c r="J14" s="412">
        <v>1</v>
      </c>
      <c r="K14" s="412">
        <v>1</v>
      </c>
      <c r="L14" s="412">
        <v>1</v>
      </c>
      <c r="M14" s="412">
        <v>1</v>
      </c>
      <c r="N14" s="412" t="str">
        <f>IF(MATERIALS!L19="","",MATERIALS!L19)</f>
        <v/>
      </c>
      <c r="O14" s="412" t="str">
        <f>IF(MATERIALS!M19="","",MATERIALS!M19)</f>
        <v/>
      </c>
      <c r="P14" s="412" t="str">
        <f>IF(MATERIALS!N19="","",MATERIALS!N19)</f>
        <v/>
      </c>
      <c r="Q14" s="412"/>
      <c r="R14" s="412">
        <f t="shared" si="2"/>
        <v>12</v>
      </c>
      <c r="S14" s="419" t="e">
        <f>IF(AND(CONSTRUCTIONS!K18="",CONSTRUCTIONS!L18=""),"",IF(CONSTRUCTIONS!K18&lt;&gt;"",VLOOKUP(CONSTRUCTIONS!K18,MatlsData,4,0),VLOOKUP(CONSTRUCTIONS!L18,MatlsData,4,0)))</f>
        <v>#N/A</v>
      </c>
      <c r="T14" s="419" t="e">
        <f>IF(AND(CONSTRUCTIONS!O18="",CONSTRUCTIONS!P18=""),"",IF(CONSTRUCTIONS!O18&lt;&gt;"",VLOOKUP(CONSTRUCTIONS!O18,MatlsData,4,0),VLOOKUP(CONSTRUCTIONS!P18,MatlsData,4,0)))</f>
        <v>#N/A</v>
      </c>
      <c r="U14" s="419" t="e">
        <f>IF(AND(CONSTRUCTIONS!S18="",CONSTRUCTIONS!T18=""),"",IF(CONSTRUCTIONS!S18&lt;&gt;"",VLOOKUP(CONSTRUCTIONS!S18,MatlsData,4,0),VLOOKUP(CONSTRUCTIONS!T18,MatlsData,4,0)))</f>
        <v>#N/A</v>
      </c>
      <c r="V14" s="419" t="str">
        <f>IF(AND(CONSTRUCTIONS!W18="",CONSTRUCTIONS!X18=""),"",IF(CONSTRUCTIONS!W18&lt;&gt;"",VLOOKUP(CONSTRUCTIONS!W18,MatlsData,4,0),VLOOKUP(CONSTRUCTIONS!X18,MatlsData,4,0)))</f>
        <v/>
      </c>
      <c r="W14" s="419" t="str">
        <f>IF(AND(CONSTRUCTIONS!AA18="",CONSTRUCTIONS!AB18=""),"",IF(CONSTRUCTIONS!AA18&lt;&gt;"",VLOOKUP(CONSTRUCTIONS!AA18,MatlsData,4,0),VLOOKUP(CONSTRUCTIONS!AB18,MatlsData,4,0)))</f>
        <v/>
      </c>
      <c r="X14" s="419" t="str">
        <f>IF(AND(CONSTRUCTIONS!AE18="",CONSTRUCTIONS!AF18=""),"",IF(CONSTRUCTIONS!AE18&lt;&gt;"",VLOOKUP(CONSTRUCTIONS!AE18,MatlsData,4,0),VLOOKUP(CONSTRUCTIONS!AF18,MatlsData,4,0)))</f>
        <v/>
      </c>
      <c r="Y14" s="419" t="str">
        <f>IF(AND(CONSTRUCTIONS!AH18="",CONSTRUCTIONS!AI18=""),"",IF(CONSTRUCTIONS!AH18&lt;&gt;"",VLOOKUP(CONSTRUCTIONS!AH18,MatlsData,4,0),VLOOKUP(CONSTRUCTIONS!AI18,MatlsData,4,0)))</f>
        <v/>
      </c>
      <c r="Z14" s="419" t="str">
        <f>IF(AND(CONSTRUCTIONS!AK18="",CONSTRUCTIONS!AL18=""),"",IF(CONSTRUCTIONS!AK18&lt;&gt;"",VLOOKUP(CONSTRUCTIONS!AK18,MatlsData,4,0),VLOOKUP(CONSTRUCTIONS!AL18,MatlsData,4,0)))</f>
        <v/>
      </c>
      <c r="AA14" s="420"/>
      <c r="AB14" s="412"/>
      <c r="AC14" s="412"/>
      <c r="AD14" s="412"/>
    </row>
    <row r="15" spans="1:30">
      <c r="A15" s="412"/>
      <c r="B15" s="412"/>
      <c r="C15" s="412">
        <f>MATERIALS!C20</f>
        <v>13</v>
      </c>
      <c r="D15" s="412" t="str">
        <f>IF(MATERIALS!D20="","",MATERIALS!D20)</f>
        <v/>
      </c>
      <c r="E15" s="412" t="str">
        <f t="shared" si="0"/>
        <v>Material 13</v>
      </c>
      <c r="F15" s="418">
        <f t="shared" si="1"/>
        <v>1E-3</v>
      </c>
      <c r="G15" s="412">
        <v>0.03</v>
      </c>
      <c r="H15" s="412">
        <f>MATERIALS!I20</f>
        <v>0</v>
      </c>
      <c r="I15" s="412" t="s">
        <v>633</v>
      </c>
      <c r="J15" s="412">
        <v>1</v>
      </c>
      <c r="K15" s="412">
        <v>1</v>
      </c>
      <c r="L15" s="412">
        <v>1</v>
      </c>
      <c r="M15" s="412">
        <v>1</v>
      </c>
      <c r="N15" s="412" t="str">
        <f>IF(MATERIALS!L20="","",MATERIALS!L20)</f>
        <v/>
      </c>
      <c r="O15" s="412" t="str">
        <f>IF(MATERIALS!M20="","",MATERIALS!M20)</f>
        <v/>
      </c>
      <c r="P15" s="412" t="str">
        <f>IF(MATERIALS!N20="","",MATERIALS!N20)</f>
        <v/>
      </c>
      <c r="Q15" s="412"/>
      <c r="R15" s="412">
        <f t="shared" si="2"/>
        <v>13</v>
      </c>
      <c r="S15" s="419" t="str">
        <f>IF(AND(CONSTRUCTIONS!K19="",CONSTRUCTIONS!L19=""),"",IF(CONSTRUCTIONS!K19&lt;&gt;"",VLOOKUP(CONSTRUCTIONS!K19,MatlsData,4,0),VLOOKUP(CONSTRUCTIONS!L19,MatlsData,4,0)))</f>
        <v/>
      </c>
      <c r="T15" s="419" t="str">
        <f>IF(AND(CONSTRUCTIONS!O19="",CONSTRUCTIONS!P19=""),"",IF(CONSTRUCTIONS!O19&lt;&gt;"",VLOOKUP(CONSTRUCTIONS!O19,MatlsData,4,0),VLOOKUP(CONSTRUCTIONS!P19,MatlsData,4,0)))</f>
        <v/>
      </c>
      <c r="U15" s="419" t="str">
        <f>IF(AND(CONSTRUCTIONS!S19="",CONSTRUCTIONS!T19=""),"",IF(CONSTRUCTIONS!S19&lt;&gt;"",VLOOKUP(CONSTRUCTIONS!S19,MatlsData,4,0),VLOOKUP(CONSTRUCTIONS!T19,MatlsData,4,0)))</f>
        <v/>
      </c>
      <c r="V15" s="419" t="str">
        <f>IF(AND(CONSTRUCTIONS!W19="",CONSTRUCTIONS!X19=""),"",IF(CONSTRUCTIONS!W19&lt;&gt;"",VLOOKUP(CONSTRUCTIONS!W19,MatlsData,4,0),VLOOKUP(CONSTRUCTIONS!X19,MatlsData,4,0)))</f>
        <v/>
      </c>
      <c r="W15" s="419" t="str">
        <f>IF(AND(CONSTRUCTIONS!AA19="",CONSTRUCTIONS!AB19=""),"",IF(CONSTRUCTIONS!AA19&lt;&gt;"",VLOOKUP(CONSTRUCTIONS!AA19,MatlsData,4,0),VLOOKUP(CONSTRUCTIONS!AB19,MatlsData,4,0)))</f>
        <v/>
      </c>
      <c r="X15" s="419" t="str">
        <f>IF(AND(CONSTRUCTIONS!AE19="",CONSTRUCTIONS!AF19=""),"",IF(CONSTRUCTIONS!AE19&lt;&gt;"",VLOOKUP(CONSTRUCTIONS!AE19,MatlsData,4,0),VLOOKUP(CONSTRUCTIONS!AF19,MatlsData,4,0)))</f>
        <v/>
      </c>
      <c r="Y15" s="419" t="str">
        <f>IF(AND(CONSTRUCTIONS!AH19="",CONSTRUCTIONS!AI19=""),"",IF(CONSTRUCTIONS!AH19&lt;&gt;"",VLOOKUP(CONSTRUCTIONS!AH19,MatlsData,4,0),VLOOKUP(CONSTRUCTIONS!AI19,MatlsData,4,0)))</f>
        <v/>
      </c>
      <c r="Z15" s="419" t="str">
        <f>IF(AND(CONSTRUCTIONS!AK19="",CONSTRUCTIONS!AL19=""),"",IF(CONSTRUCTIONS!AK19&lt;&gt;"",VLOOKUP(CONSTRUCTIONS!AK19,MatlsData,4,0),VLOOKUP(CONSTRUCTIONS!AL19,MatlsData,4,0)))</f>
        <v/>
      </c>
      <c r="AA15" s="420"/>
      <c r="AB15" s="412"/>
      <c r="AC15" s="412"/>
      <c r="AD15" s="412"/>
    </row>
    <row r="16" spans="1:30">
      <c r="A16" s="412"/>
      <c r="B16" s="412"/>
      <c r="C16" s="412">
        <f>MATERIALS!C21</f>
        <v>14</v>
      </c>
      <c r="D16" s="412" t="str">
        <f>IF(MATERIALS!D21="","",MATERIALS!D21)</f>
        <v/>
      </c>
      <c r="E16" s="412" t="str">
        <f t="shared" si="0"/>
        <v>Material 14</v>
      </c>
      <c r="F16" s="418">
        <f t="shared" si="1"/>
        <v>1E-3</v>
      </c>
      <c r="G16" s="412">
        <v>0.03</v>
      </c>
      <c r="H16" s="412">
        <f>MATERIALS!I21</f>
        <v>0</v>
      </c>
      <c r="I16" s="412" t="s">
        <v>633</v>
      </c>
      <c r="J16" s="412">
        <v>1</v>
      </c>
      <c r="K16" s="412">
        <v>1</v>
      </c>
      <c r="L16" s="412">
        <v>1</v>
      </c>
      <c r="M16" s="412">
        <v>1</v>
      </c>
      <c r="N16" s="412" t="str">
        <f>IF(MATERIALS!L21="","",MATERIALS!L21)</f>
        <v/>
      </c>
      <c r="O16" s="412" t="str">
        <f>IF(MATERIALS!M21="","",MATERIALS!M21)</f>
        <v/>
      </c>
      <c r="P16" s="412" t="str">
        <f>IF(MATERIALS!N21="","",MATERIALS!N21)</f>
        <v/>
      </c>
      <c r="Q16" s="412"/>
      <c r="R16" s="412">
        <f t="shared" si="2"/>
        <v>14</v>
      </c>
      <c r="S16" s="419" t="str">
        <f>IF(AND(CONSTRUCTIONS!K20="",CONSTRUCTIONS!L20=""),"",IF(CONSTRUCTIONS!K20&lt;&gt;"",VLOOKUP(CONSTRUCTIONS!K20,MatlsData,4,0),VLOOKUP(CONSTRUCTIONS!L20,MatlsData,4,0)))</f>
        <v/>
      </c>
      <c r="T16" s="419" t="str">
        <f>IF(AND(CONSTRUCTIONS!O20="",CONSTRUCTIONS!P20=""),"",IF(CONSTRUCTIONS!O20&lt;&gt;"",VLOOKUP(CONSTRUCTIONS!O20,MatlsData,4,0),VLOOKUP(CONSTRUCTIONS!P20,MatlsData,4,0)))</f>
        <v/>
      </c>
      <c r="U16" s="419" t="str">
        <f>IF(AND(CONSTRUCTIONS!S20="",CONSTRUCTIONS!T20=""),"",IF(CONSTRUCTIONS!S20&lt;&gt;"",VLOOKUP(CONSTRUCTIONS!S20,MatlsData,4,0),VLOOKUP(CONSTRUCTIONS!T20,MatlsData,4,0)))</f>
        <v/>
      </c>
      <c r="V16" s="419" t="str">
        <f>IF(AND(CONSTRUCTIONS!W20="",CONSTRUCTIONS!X20=""),"",IF(CONSTRUCTIONS!W20&lt;&gt;"",VLOOKUP(CONSTRUCTIONS!W20,MatlsData,4,0),VLOOKUP(CONSTRUCTIONS!X20,MatlsData,4,0)))</f>
        <v/>
      </c>
      <c r="W16" s="419" t="str">
        <f>IF(AND(CONSTRUCTIONS!AA20="",CONSTRUCTIONS!AB20=""),"",IF(CONSTRUCTIONS!AA20&lt;&gt;"",VLOOKUP(CONSTRUCTIONS!AA20,MatlsData,4,0),VLOOKUP(CONSTRUCTIONS!AB20,MatlsData,4,0)))</f>
        <v/>
      </c>
      <c r="X16" s="419" t="str">
        <f>IF(AND(CONSTRUCTIONS!AE20="",CONSTRUCTIONS!AF20=""),"",IF(CONSTRUCTIONS!AE20&lt;&gt;"",VLOOKUP(CONSTRUCTIONS!AE20,MatlsData,4,0),VLOOKUP(CONSTRUCTIONS!AF20,MatlsData,4,0)))</f>
        <v/>
      </c>
      <c r="Y16" s="419" t="str">
        <f>IF(AND(CONSTRUCTIONS!AH20="",CONSTRUCTIONS!AI20=""),"",IF(CONSTRUCTIONS!AH20&lt;&gt;"",VLOOKUP(CONSTRUCTIONS!AH20,MatlsData,4,0),VLOOKUP(CONSTRUCTIONS!AI20,MatlsData,4,0)))</f>
        <v/>
      </c>
      <c r="Z16" s="419" t="str">
        <f>IF(AND(CONSTRUCTIONS!AK20="",CONSTRUCTIONS!AL20=""),"",IF(CONSTRUCTIONS!AK20&lt;&gt;"",VLOOKUP(CONSTRUCTIONS!AK20,MatlsData,4,0),VLOOKUP(CONSTRUCTIONS!AL20,MatlsData,4,0)))</f>
        <v/>
      </c>
      <c r="AA16" s="420"/>
      <c r="AB16" s="412"/>
      <c r="AC16" s="412"/>
      <c r="AD16" s="412"/>
    </row>
    <row r="17" spans="1:30">
      <c r="A17" s="412"/>
      <c r="B17" s="412"/>
      <c r="C17" s="412">
        <f>MATERIALS!C22</f>
        <v>15</v>
      </c>
      <c r="D17" s="412" t="str">
        <f>IF(MATERIALS!D22="","",MATERIALS!D22)</f>
        <v/>
      </c>
      <c r="E17" s="412" t="str">
        <f t="shared" si="0"/>
        <v>Material 15</v>
      </c>
      <c r="F17" s="418">
        <f t="shared" si="1"/>
        <v>1E-3</v>
      </c>
      <c r="G17" s="412">
        <v>0.03</v>
      </c>
      <c r="H17" s="412">
        <f>MATERIALS!I22</f>
        <v>0</v>
      </c>
      <c r="I17" s="412" t="s">
        <v>633</v>
      </c>
      <c r="J17" s="412">
        <v>1</v>
      </c>
      <c r="K17" s="412">
        <v>1</v>
      </c>
      <c r="L17" s="412">
        <v>1</v>
      </c>
      <c r="M17" s="412">
        <v>1</v>
      </c>
      <c r="N17" s="412" t="str">
        <f>IF(MATERIALS!L22="","",MATERIALS!L22)</f>
        <v/>
      </c>
      <c r="O17" s="412" t="str">
        <f>IF(MATERIALS!M22="","",MATERIALS!M22)</f>
        <v/>
      </c>
      <c r="P17" s="412" t="str">
        <f>IF(MATERIALS!N22="","",MATERIALS!N22)</f>
        <v/>
      </c>
      <c r="Q17" s="412"/>
      <c r="R17" s="412">
        <f t="shared" si="2"/>
        <v>15</v>
      </c>
      <c r="S17" s="419" t="str">
        <f>IF(AND(CONSTRUCTIONS!K21="",CONSTRUCTIONS!L21=""),"",IF(CONSTRUCTIONS!K21&lt;&gt;"",VLOOKUP(CONSTRUCTIONS!K21,MatlsData,4,0),VLOOKUP(CONSTRUCTIONS!L21,MatlsData,4,0)))</f>
        <v/>
      </c>
      <c r="T17" s="419" t="str">
        <f>IF(AND(CONSTRUCTIONS!O21="",CONSTRUCTIONS!P21=""),"",IF(CONSTRUCTIONS!O21&lt;&gt;"",VLOOKUP(CONSTRUCTIONS!O21,MatlsData,4,0),VLOOKUP(CONSTRUCTIONS!P21,MatlsData,4,0)))</f>
        <v/>
      </c>
      <c r="U17" s="419" t="str">
        <f>IF(AND(CONSTRUCTIONS!S21="",CONSTRUCTIONS!T21=""),"",IF(CONSTRUCTIONS!S21&lt;&gt;"",VLOOKUP(CONSTRUCTIONS!S21,MatlsData,4,0),VLOOKUP(CONSTRUCTIONS!T21,MatlsData,4,0)))</f>
        <v/>
      </c>
      <c r="V17" s="419" t="str">
        <f>IF(AND(CONSTRUCTIONS!W21="",CONSTRUCTIONS!X21=""),"",IF(CONSTRUCTIONS!W21&lt;&gt;"",VLOOKUP(CONSTRUCTIONS!W21,MatlsData,4,0),VLOOKUP(CONSTRUCTIONS!X21,MatlsData,4,0)))</f>
        <v/>
      </c>
      <c r="W17" s="419" t="str">
        <f>IF(AND(CONSTRUCTIONS!AA21="",CONSTRUCTIONS!AB21=""),"",IF(CONSTRUCTIONS!AA21&lt;&gt;"",VLOOKUP(CONSTRUCTIONS!AA21,MatlsData,4,0),VLOOKUP(CONSTRUCTIONS!AB21,MatlsData,4,0)))</f>
        <v/>
      </c>
      <c r="X17" s="419" t="str">
        <f>IF(AND(CONSTRUCTIONS!AE21="",CONSTRUCTIONS!AF21=""),"",IF(CONSTRUCTIONS!AE21&lt;&gt;"",VLOOKUP(CONSTRUCTIONS!AE21,MatlsData,4,0),VLOOKUP(CONSTRUCTIONS!AF21,MatlsData,4,0)))</f>
        <v/>
      </c>
      <c r="Y17" s="419" t="str">
        <f>IF(AND(CONSTRUCTIONS!AH21="",CONSTRUCTIONS!AI21=""),"",IF(CONSTRUCTIONS!AH21&lt;&gt;"",VLOOKUP(CONSTRUCTIONS!AH21,MatlsData,4,0),VLOOKUP(CONSTRUCTIONS!AI21,MatlsData,4,0)))</f>
        <v/>
      </c>
      <c r="Z17" s="419" t="str">
        <f>IF(AND(CONSTRUCTIONS!AK21="",CONSTRUCTIONS!AL21=""),"",IF(CONSTRUCTIONS!AK21&lt;&gt;"",VLOOKUP(CONSTRUCTIONS!AK21,MatlsData,4,0),VLOOKUP(CONSTRUCTIONS!AL21,MatlsData,4,0)))</f>
        <v/>
      </c>
      <c r="AA17" s="420"/>
      <c r="AB17" s="412"/>
      <c r="AC17" s="412"/>
      <c r="AD17" s="412"/>
    </row>
    <row r="18" spans="1:30">
      <c r="A18" s="412"/>
      <c r="B18" s="412"/>
      <c r="C18" s="412">
        <f>MATERIALS!C23</f>
        <v>16</v>
      </c>
      <c r="D18" s="412" t="str">
        <f>IF(MATERIALS!D23="","",MATERIALS!D23)</f>
        <v/>
      </c>
      <c r="E18" s="412" t="str">
        <f t="shared" si="0"/>
        <v>Material 16</v>
      </c>
      <c r="F18" s="418">
        <f t="shared" si="1"/>
        <v>1E-3</v>
      </c>
      <c r="G18" s="412">
        <v>0.03</v>
      </c>
      <c r="H18" s="412">
        <f>MATERIALS!I23</f>
        <v>0</v>
      </c>
      <c r="I18" s="412" t="s">
        <v>633</v>
      </c>
      <c r="J18" s="412">
        <v>1</v>
      </c>
      <c r="K18" s="412">
        <v>1</v>
      </c>
      <c r="L18" s="412">
        <v>1</v>
      </c>
      <c r="M18" s="412">
        <v>1</v>
      </c>
      <c r="N18" s="412" t="str">
        <f>IF(MATERIALS!L23="","",MATERIALS!L23)</f>
        <v/>
      </c>
      <c r="O18" s="412" t="str">
        <f>IF(MATERIALS!M23="","",MATERIALS!M23)</f>
        <v/>
      </c>
      <c r="P18" s="412" t="str">
        <f>IF(MATERIALS!N23="","",MATERIALS!N23)</f>
        <v/>
      </c>
      <c r="Q18" s="412"/>
      <c r="R18" s="412">
        <f t="shared" si="2"/>
        <v>16</v>
      </c>
      <c r="S18" s="419" t="str">
        <f>IF(AND(CONSTRUCTIONS!K22="",CONSTRUCTIONS!L22=""),"",IF(CONSTRUCTIONS!K22&lt;&gt;"",VLOOKUP(CONSTRUCTIONS!K22,MatlsData,4,0),VLOOKUP(CONSTRUCTIONS!L22,MatlsData,4,0)))</f>
        <v/>
      </c>
      <c r="T18" s="419" t="str">
        <f>IF(AND(CONSTRUCTIONS!O22="",CONSTRUCTIONS!P22=""),"",IF(CONSTRUCTIONS!O22&lt;&gt;"",VLOOKUP(CONSTRUCTIONS!O22,MatlsData,4,0),VLOOKUP(CONSTRUCTIONS!P22,MatlsData,4,0)))</f>
        <v/>
      </c>
      <c r="U18" s="419" t="str">
        <f>IF(AND(CONSTRUCTIONS!S22="",CONSTRUCTIONS!T22=""),"",IF(CONSTRUCTIONS!S22&lt;&gt;"",VLOOKUP(CONSTRUCTIONS!S22,MatlsData,4,0),VLOOKUP(CONSTRUCTIONS!T22,MatlsData,4,0)))</f>
        <v/>
      </c>
      <c r="V18" s="419" t="str">
        <f>IF(AND(CONSTRUCTIONS!W22="",CONSTRUCTIONS!X22=""),"",IF(CONSTRUCTIONS!W22&lt;&gt;"",VLOOKUP(CONSTRUCTIONS!W22,MatlsData,4,0),VLOOKUP(CONSTRUCTIONS!X22,MatlsData,4,0)))</f>
        <v/>
      </c>
      <c r="W18" s="419" t="str">
        <f>IF(AND(CONSTRUCTIONS!AA22="",CONSTRUCTIONS!AB22=""),"",IF(CONSTRUCTIONS!AA22&lt;&gt;"",VLOOKUP(CONSTRUCTIONS!AA22,MatlsData,4,0),VLOOKUP(CONSTRUCTIONS!AB22,MatlsData,4,0)))</f>
        <v/>
      </c>
      <c r="X18" s="419" t="str">
        <f>IF(AND(CONSTRUCTIONS!AE22="",CONSTRUCTIONS!AF22=""),"",IF(CONSTRUCTIONS!AE22&lt;&gt;"",VLOOKUP(CONSTRUCTIONS!AE22,MatlsData,4,0),VLOOKUP(CONSTRUCTIONS!AF22,MatlsData,4,0)))</f>
        <v/>
      </c>
      <c r="Y18" s="419" t="str">
        <f>IF(AND(CONSTRUCTIONS!AH22="",CONSTRUCTIONS!AI22=""),"",IF(CONSTRUCTIONS!AH22&lt;&gt;"",VLOOKUP(CONSTRUCTIONS!AH22,MatlsData,4,0),VLOOKUP(CONSTRUCTIONS!AI22,MatlsData,4,0)))</f>
        <v/>
      </c>
      <c r="Z18" s="419" t="str">
        <f>IF(AND(CONSTRUCTIONS!AK22="",CONSTRUCTIONS!AL22=""),"",IF(CONSTRUCTIONS!AK22&lt;&gt;"",VLOOKUP(CONSTRUCTIONS!AK22,MatlsData,4,0),VLOOKUP(CONSTRUCTIONS!AL22,MatlsData,4,0)))</f>
        <v/>
      </c>
      <c r="AA18" s="420"/>
      <c r="AB18" s="412"/>
      <c r="AC18" s="412"/>
      <c r="AD18" s="412"/>
    </row>
    <row r="19" spans="1:30">
      <c r="A19" s="412"/>
      <c r="B19" s="412"/>
      <c r="C19" s="412">
        <f>MATERIALS!C24</f>
        <v>17</v>
      </c>
      <c r="D19" s="412" t="str">
        <f>IF(MATERIALS!D24="","",MATERIALS!D24)</f>
        <v/>
      </c>
      <c r="E19" s="412" t="str">
        <f t="shared" si="0"/>
        <v>Material 17</v>
      </c>
      <c r="F19" s="418">
        <f t="shared" si="1"/>
        <v>1E-3</v>
      </c>
      <c r="G19" s="412">
        <v>0.03</v>
      </c>
      <c r="H19" s="412">
        <f>MATERIALS!I24</f>
        <v>0</v>
      </c>
      <c r="I19" s="412" t="s">
        <v>633</v>
      </c>
      <c r="J19" s="412">
        <v>1</v>
      </c>
      <c r="K19" s="412">
        <v>1</v>
      </c>
      <c r="L19" s="412">
        <v>1</v>
      </c>
      <c r="M19" s="412">
        <v>1</v>
      </c>
      <c r="N19" s="412" t="str">
        <f>IF(MATERIALS!L24="","",MATERIALS!L24)</f>
        <v/>
      </c>
      <c r="O19" s="412" t="str">
        <f>IF(MATERIALS!M24="","",MATERIALS!M24)</f>
        <v/>
      </c>
      <c r="P19" s="412" t="str">
        <f>IF(MATERIALS!N24="","",MATERIALS!N24)</f>
        <v/>
      </c>
      <c r="Q19" s="412"/>
      <c r="R19" s="412">
        <f t="shared" si="2"/>
        <v>17</v>
      </c>
      <c r="S19" s="419" t="str">
        <f>IF(AND(CONSTRUCTIONS!K23="",CONSTRUCTIONS!L23=""),"",IF(CONSTRUCTIONS!K23&lt;&gt;"",VLOOKUP(CONSTRUCTIONS!K23,MatlsData,4,0),VLOOKUP(CONSTRUCTIONS!L23,MatlsData,4,0)))</f>
        <v/>
      </c>
      <c r="T19" s="419" t="str">
        <f>IF(AND(CONSTRUCTIONS!O23="",CONSTRUCTIONS!P23=""),"",IF(CONSTRUCTIONS!O23&lt;&gt;"",VLOOKUP(CONSTRUCTIONS!O23,MatlsData,4,0),VLOOKUP(CONSTRUCTIONS!P23,MatlsData,4,0)))</f>
        <v/>
      </c>
      <c r="U19" s="419" t="str">
        <f>IF(AND(CONSTRUCTIONS!S23="",CONSTRUCTIONS!T23=""),"",IF(CONSTRUCTIONS!S23&lt;&gt;"",VLOOKUP(CONSTRUCTIONS!S23,MatlsData,4,0),VLOOKUP(CONSTRUCTIONS!T23,MatlsData,4,0)))</f>
        <v/>
      </c>
      <c r="V19" s="419" t="str">
        <f>IF(AND(CONSTRUCTIONS!W23="",CONSTRUCTIONS!X23=""),"",IF(CONSTRUCTIONS!W23&lt;&gt;"",VLOOKUP(CONSTRUCTIONS!W23,MatlsData,4,0),VLOOKUP(CONSTRUCTIONS!X23,MatlsData,4,0)))</f>
        <v/>
      </c>
      <c r="W19" s="419" t="str">
        <f>IF(AND(CONSTRUCTIONS!AA23="",CONSTRUCTIONS!AB23=""),"",IF(CONSTRUCTIONS!AA23&lt;&gt;"",VLOOKUP(CONSTRUCTIONS!AA23,MatlsData,4,0),VLOOKUP(CONSTRUCTIONS!AB23,MatlsData,4,0)))</f>
        <v/>
      </c>
      <c r="X19" s="419" t="str">
        <f>IF(AND(CONSTRUCTIONS!AE23="",CONSTRUCTIONS!AF23=""),"",IF(CONSTRUCTIONS!AE23&lt;&gt;"",VLOOKUP(CONSTRUCTIONS!AE23,MatlsData,4,0),VLOOKUP(CONSTRUCTIONS!AF23,MatlsData,4,0)))</f>
        <v/>
      </c>
      <c r="Y19" s="419" t="str">
        <f>IF(AND(CONSTRUCTIONS!AH23="",CONSTRUCTIONS!AI23=""),"",IF(CONSTRUCTIONS!AH23&lt;&gt;"",VLOOKUP(CONSTRUCTIONS!AH23,MatlsData,4,0),VLOOKUP(CONSTRUCTIONS!AI23,MatlsData,4,0)))</f>
        <v/>
      </c>
      <c r="Z19" s="419" t="str">
        <f>IF(AND(CONSTRUCTIONS!AK23="",CONSTRUCTIONS!AL23=""),"",IF(CONSTRUCTIONS!AK23&lt;&gt;"",VLOOKUP(CONSTRUCTIONS!AK23,MatlsData,4,0),VLOOKUP(CONSTRUCTIONS!AL23,MatlsData,4,0)))</f>
        <v/>
      </c>
      <c r="AA19" s="420"/>
      <c r="AB19" s="412"/>
      <c r="AC19" s="412"/>
      <c r="AD19" s="412"/>
    </row>
    <row r="20" spans="1:30">
      <c r="A20" s="412"/>
      <c r="B20" s="412"/>
      <c r="C20" s="412">
        <f>MATERIALS!C25</f>
        <v>18</v>
      </c>
      <c r="D20" s="412" t="str">
        <f>IF(MATERIALS!D25="","",MATERIALS!D25)</f>
        <v/>
      </c>
      <c r="E20" s="412" t="str">
        <f t="shared" si="0"/>
        <v>Material 18</v>
      </c>
      <c r="F20" s="418">
        <f t="shared" si="1"/>
        <v>1E-3</v>
      </c>
      <c r="G20" s="412">
        <v>0.03</v>
      </c>
      <c r="H20" s="412">
        <f>MATERIALS!I25</f>
        <v>0</v>
      </c>
      <c r="I20" s="412" t="s">
        <v>633</v>
      </c>
      <c r="J20" s="412">
        <v>1</v>
      </c>
      <c r="K20" s="412">
        <v>1</v>
      </c>
      <c r="L20" s="412">
        <v>1</v>
      </c>
      <c r="M20" s="412">
        <v>1</v>
      </c>
      <c r="N20" s="412" t="str">
        <f>IF(MATERIALS!L25="","",MATERIALS!L25)</f>
        <v/>
      </c>
      <c r="O20" s="412" t="str">
        <f>IF(MATERIALS!M25="","",MATERIALS!M25)</f>
        <v/>
      </c>
      <c r="P20" s="412" t="str">
        <f>IF(MATERIALS!N25="","",MATERIALS!N25)</f>
        <v/>
      </c>
      <c r="Q20" s="412"/>
      <c r="R20" s="412">
        <f t="shared" si="2"/>
        <v>18</v>
      </c>
      <c r="S20" s="419" t="str">
        <f>IF(AND(CONSTRUCTIONS!K24="",CONSTRUCTIONS!L24=""),"",IF(CONSTRUCTIONS!K24&lt;&gt;"",VLOOKUP(CONSTRUCTIONS!K24,MatlsData,4,0),VLOOKUP(CONSTRUCTIONS!L24,MatlsData,4,0)))</f>
        <v/>
      </c>
      <c r="T20" s="419" t="str">
        <f>IF(AND(CONSTRUCTIONS!O24="",CONSTRUCTIONS!P24=""),"",IF(CONSTRUCTIONS!O24&lt;&gt;"",VLOOKUP(CONSTRUCTIONS!O24,MatlsData,4,0),VLOOKUP(CONSTRUCTIONS!P24,MatlsData,4,0)))</f>
        <v/>
      </c>
      <c r="U20" s="419" t="str">
        <f>IF(AND(CONSTRUCTIONS!S24="",CONSTRUCTIONS!T24=""),"",IF(CONSTRUCTIONS!S24&lt;&gt;"",VLOOKUP(CONSTRUCTIONS!S24,MatlsData,4,0),VLOOKUP(CONSTRUCTIONS!T24,MatlsData,4,0)))</f>
        <v/>
      </c>
      <c r="V20" s="419" t="str">
        <f>IF(AND(CONSTRUCTIONS!W24="",CONSTRUCTIONS!X24=""),"",IF(CONSTRUCTIONS!W24&lt;&gt;"",VLOOKUP(CONSTRUCTIONS!W24,MatlsData,4,0),VLOOKUP(CONSTRUCTIONS!X24,MatlsData,4,0)))</f>
        <v/>
      </c>
      <c r="W20" s="419" t="str">
        <f>IF(AND(CONSTRUCTIONS!AA24="",CONSTRUCTIONS!AB24=""),"",IF(CONSTRUCTIONS!AA24&lt;&gt;"",VLOOKUP(CONSTRUCTIONS!AA24,MatlsData,4,0),VLOOKUP(CONSTRUCTIONS!AB24,MatlsData,4,0)))</f>
        <v/>
      </c>
      <c r="X20" s="419" t="str">
        <f>IF(AND(CONSTRUCTIONS!AE24="",CONSTRUCTIONS!AF24=""),"",IF(CONSTRUCTIONS!AE24&lt;&gt;"",VLOOKUP(CONSTRUCTIONS!AE24,MatlsData,4,0),VLOOKUP(CONSTRUCTIONS!AF24,MatlsData,4,0)))</f>
        <v/>
      </c>
      <c r="Y20" s="419" t="str">
        <f>IF(AND(CONSTRUCTIONS!AH24="",CONSTRUCTIONS!AI24=""),"",IF(CONSTRUCTIONS!AH24&lt;&gt;"",VLOOKUP(CONSTRUCTIONS!AH24,MatlsData,4,0),VLOOKUP(CONSTRUCTIONS!AI24,MatlsData,4,0)))</f>
        <v/>
      </c>
      <c r="Z20" s="419" t="str">
        <f>IF(AND(CONSTRUCTIONS!AK24="",CONSTRUCTIONS!AL24=""),"",IF(CONSTRUCTIONS!AK24&lt;&gt;"",VLOOKUP(CONSTRUCTIONS!AK24,MatlsData,4,0),VLOOKUP(CONSTRUCTIONS!AL24,MatlsData,4,0)))</f>
        <v/>
      </c>
      <c r="AA20" s="420"/>
      <c r="AB20" s="412"/>
      <c r="AC20" s="412"/>
      <c r="AD20" s="412"/>
    </row>
    <row r="21" spans="1:30">
      <c r="A21" s="412"/>
      <c r="B21" s="412"/>
      <c r="C21" s="412">
        <f>MATERIALS!C26</f>
        <v>19</v>
      </c>
      <c r="D21" s="412" t="str">
        <f>IF(MATERIALS!D26="","",MATERIALS!D26)</f>
        <v/>
      </c>
      <c r="E21" s="412" t="str">
        <f t="shared" si="0"/>
        <v>Material 19</v>
      </c>
      <c r="F21" s="418">
        <f t="shared" si="1"/>
        <v>1E-3</v>
      </c>
      <c r="G21" s="412">
        <v>0.03</v>
      </c>
      <c r="H21" s="412">
        <f>MATERIALS!I26</f>
        <v>0</v>
      </c>
      <c r="I21" s="412" t="s">
        <v>633</v>
      </c>
      <c r="J21" s="412">
        <v>1</v>
      </c>
      <c r="K21" s="412">
        <v>1</v>
      </c>
      <c r="L21" s="412">
        <v>1</v>
      </c>
      <c r="M21" s="412">
        <v>1</v>
      </c>
      <c r="N21" s="412" t="str">
        <f>IF(MATERIALS!L26="","",MATERIALS!L26)</f>
        <v/>
      </c>
      <c r="O21" s="412" t="str">
        <f>IF(MATERIALS!M26="","",MATERIALS!M26)</f>
        <v/>
      </c>
      <c r="P21" s="412" t="str">
        <f>IF(MATERIALS!N26="","",MATERIALS!N26)</f>
        <v/>
      </c>
      <c r="Q21" s="412"/>
      <c r="R21" s="412">
        <f t="shared" si="2"/>
        <v>19</v>
      </c>
      <c r="S21" s="419" t="str">
        <f>IF(AND(CONSTRUCTIONS!K25="",CONSTRUCTIONS!L25=""),"",IF(CONSTRUCTIONS!K25&lt;&gt;"",VLOOKUP(CONSTRUCTIONS!K25,MatlsData,4,0),VLOOKUP(CONSTRUCTIONS!L25,MatlsData,4,0)))</f>
        <v/>
      </c>
      <c r="T21" s="419" t="str">
        <f>IF(AND(CONSTRUCTIONS!O25="",CONSTRUCTIONS!P25=""),"",IF(CONSTRUCTIONS!O25&lt;&gt;"",VLOOKUP(CONSTRUCTIONS!O25,MatlsData,4,0),VLOOKUP(CONSTRUCTIONS!P25,MatlsData,4,0)))</f>
        <v/>
      </c>
      <c r="U21" s="419" t="str">
        <f>IF(AND(CONSTRUCTIONS!S25="",CONSTRUCTIONS!T25=""),"",IF(CONSTRUCTIONS!S25&lt;&gt;"",VLOOKUP(CONSTRUCTIONS!S25,MatlsData,4,0),VLOOKUP(CONSTRUCTIONS!T25,MatlsData,4,0)))</f>
        <v/>
      </c>
      <c r="V21" s="419" t="str">
        <f>IF(AND(CONSTRUCTIONS!W25="",CONSTRUCTIONS!X25=""),"",IF(CONSTRUCTIONS!W25&lt;&gt;"",VLOOKUP(CONSTRUCTIONS!W25,MatlsData,4,0),VLOOKUP(CONSTRUCTIONS!X25,MatlsData,4,0)))</f>
        <v/>
      </c>
      <c r="W21" s="419" t="str">
        <f>IF(AND(CONSTRUCTIONS!AA25="",CONSTRUCTIONS!AB25=""),"",IF(CONSTRUCTIONS!AA25&lt;&gt;"",VLOOKUP(CONSTRUCTIONS!AA25,MatlsData,4,0),VLOOKUP(CONSTRUCTIONS!AB25,MatlsData,4,0)))</f>
        <v/>
      </c>
      <c r="X21" s="419" t="str">
        <f>IF(AND(CONSTRUCTIONS!AE25="",CONSTRUCTIONS!AF25=""),"",IF(CONSTRUCTIONS!AE25&lt;&gt;"",VLOOKUP(CONSTRUCTIONS!AE25,MatlsData,4,0),VLOOKUP(CONSTRUCTIONS!AF25,MatlsData,4,0)))</f>
        <v/>
      </c>
      <c r="Y21" s="419" t="str">
        <f>IF(AND(CONSTRUCTIONS!AH25="",CONSTRUCTIONS!AI25=""),"",IF(CONSTRUCTIONS!AH25&lt;&gt;"",VLOOKUP(CONSTRUCTIONS!AH25,MatlsData,4,0),VLOOKUP(CONSTRUCTIONS!AI25,MatlsData,4,0)))</f>
        <v/>
      </c>
      <c r="Z21" s="419" t="str">
        <f>IF(AND(CONSTRUCTIONS!AK25="",CONSTRUCTIONS!AL25=""),"",IF(CONSTRUCTIONS!AK25&lt;&gt;"",VLOOKUP(CONSTRUCTIONS!AK25,MatlsData,4,0),VLOOKUP(CONSTRUCTIONS!AL25,MatlsData,4,0)))</f>
        <v/>
      </c>
      <c r="AA21" s="420"/>
      <c r="AB21" s="412"/>
      <c r="AC21" s="412"/>
      <c r="AD21" s="412"/>
    </row>
    <row r="22" spans="1:30">
      <c r="A22" s="412"/>
      <c r="B22" s="412"/>
      <c r="C22" s="412">
        <f>MATERIALS!C27</f>
        <v>20</v>
      </c>
      <c r="D22" s="412" t="str">
        <f>IF(MATERIALS!D27="","",MATERIALS!D27)</f>
        <v/>
      </c>
      <c r="E22" s="412" t="str">
        <f t="shared" si="0"/>
        <v>Material 20</v>
      </c>
      <c r="F22" s="418">
        <f t="shared" si="1"/>
        <v>1E-3</v>
      </c>
      <c r="G22" s="412">
        <v>0.03</v>
      </c>
      <c r="H22" s="412">
        <f>MATERIALS!I27</f>
        <v>0</v>
      </c>
      <c r="I22" s="412" t="s">
        <v>633</v>
      </c>
      <c r="J22" s="412">
        <v>1</v>
      </c>
      <c r="K22" s="412">
        <v>1</v>
      </c>
      <c r="L22" s="412">
        <v>1</v>
      </c>
      <c r="M22" s="412">
        <v>1</v>
      </c>
      <c r="N22" s="412" t="str">
        <f>IF(MATERIALS!L27="","",MATERIALS!L27)</f>
        <v/>
      </c>
      <c r="O22" s="412" t="str">
        <f>IF(MATERIALS!M27="","",MATERIALS!M27)</f>
        <v/>
      </c>
      <c r="P22" s="412" t="str">
        <f>IF(MATERIALS!N27="","",MATERIALS!N27)</f>
        <v/>
      </c>
      <c r="Q22" s="412"/>
      <c r="R22" s="412">
        <f t="shared" si="2"/>
        <v>20</v>
      </c>
      <c r="S22" s="419" t="str">
        <f>IF(AND(CONSTRUCTIONS!K26="",CONSTRUCTIONS!L26=""),"",IF(CONSTRUCTIONS!K26&lt;&gt;"",VLOOKUP(CONSTRUCTIONS!K26,MatlsData,4,0),VLOOKUP(CONSTRUCTIONS!L26,MatlsData,4,0)))</f>
        <v/>
      </c>
      <c r="T22" s="419" t="str">
        <f>IF(AND(CONSTRUCTIONS!O26="",CONSTRUCTIONS!P26=""),"",IF(CONSTRUCTIONS!O26&lt;&gt;"",VLOOKUP(CONSTRUCTIONS!O26,MatlsData,4,0),VLOOKUP(CONSTRUCTIONS!P26,MatlsData,4,0)))</f>
        <v/>
      </c>
      <c r="U22" s="419" t="str">
        <f>IF(AND(CONSTRUCTIONS!S26="",CONSTRUCTIONS!T26=""),"",IF(CONSTRUCTIONS!S26&lt;&gt;"",VLOOKUP(CONSTRUCTIONS!S26,MatlsData,4,0),VLOOKUP(CONSTRUCTIONS!T26,MatlsData,4,0)))</f>
        <v/>
      </c>
      <c r="V22" s="419" t="str">
        <f>IF(AND(CONSTRUCTIONS!W26="",CONSTRUCTIONS!X26=""),"",IF(CONSTRUCTIONS!W26&lt;&gt;"",VLOOKUP(CONSTRUCTIONS!W26,MatlsData,4,0),VLOOKUP(CONSTRUCTIONS!X26,MatlsData,4,0)))</f>
        <v/>
      </c>
      <c r="W22" s="419" t="str">
        <f>IF(AND(CONSTRUCTIONS!AA26="",CONSTRUCTIONS!AB26=""),"",IF(CONSTRUCTIONS!AA26&lt;&gt;"",VLOOKUP(CONSTRUCTIONS!AA26,MatlsData,4,0),VLOOKUP(CONSTRUCTIONS!AB26,MatlsData,4,0)))</f>
        <v/>
      </c>
      <c r="X22" s="419" t="str">
        <f>IF(AND(CONSTRUCTIONS!AE26="",CONSTRUCTIONS!AF26=""),"",IF(CONSTRUCTIONS!AE26&lt;&gt;"",VLOOKUP(CONSTRUCTIONS!AE26,MatlsData,4,0),VLOOKUP(CONSTRUCTIONS!AF26,MatlsData,4,0)))</f>
        <v/>
      </c>
      <c r="Y22" s="419" t="str">
        <f>IF(AND(CONSTRUCTIONS!AH26="",CONSTRUCTIONS!AI26=""),"",IF(CONSTRUCTIONS!AH26&lt;&gt;"",VLOOKUP(CONSTRUCTIONS!AH26,MatlsData,4,0),VLOOKUP(CONSTRUCTIONS!AI26,MatlsData,4,0)))</f>
        <v/>
      </c>
      <c r="Z22" s="419" t="str">
        <f>IF(AND(CONSTRUCTIONS!AK26="",CONSTRUCTIONS!AL26=""),"",IF(CONSTRUCTIONS!AK26&lt;&gt;"",VLOOKUP(CONSTRUCTIONS!AK26,MatlsData,4,0),VLOOKUP(CONSTRUCTIONS!AL26,MatlsData,4,0)))</f>
        <v/>
      </c>
      <c r="AA22" s="420"/>
      <c r="AB22" s="412"/>
      <c r="AC22" s="412"/>
      <c r="AD22" s="412"/>
    </row>
    <row r="23" spans="1:30">
      <c r="A23" s="412"/>
      <c r="B23" s="412"/>
      <c r="C23" s="412">
        <f>MATERIALS!C28</f>
        <v>21</v>
      </c>
      <c r="D23" s="412" t="str">
        <f>IF(MATERIALS!D28="","",MATERIALS!D28)</f>
        <v/>
      </c>
      <c r="E23" s="412" t="str">
        <f t="shared" si="0"/>
        <v>Material 21</v>
      </c>
      <c r="F23" s="418">
        <f t="shared" si="1"/>
        <v>1E-3</v>
      </c>
      <c r="G23" s="412">
        <v>0.03</v>
      </c>
      <c r="H23" s="412">
        <f>MATERIALS!I28</f>
        <v>0</v>
      </c>
      <c r="I23" s="412" t="s">
        <v>633</v>
      </c>
      <c r="J23" s="412">
        <v>1</v>
      </c>
      <c r="K23" s="412">
        <v>1</v>
      </c>
      <c r="L23" s="412">
        <v>1</v>
      </c>
      <c r="M23" s="412">
        <v>1</v>
      </c>
      <c r="N23" s="412" t="str">
        <f>IF(MATERIALS!L28="","",MATERIALS!L28)</f>
        <v/>
      </c>
      <c r="O23" s="412" t="str">
        <f>IF(MATERIALS!M28="","",MATERIALS!M28)</f>
        <v/>
      </c>
      <c r="P23" s="412" t="str">
        <f>IF(MATERIALS!N28="","",MATERIALS!N28)</f>
        <v/>
      </c>
      <c r="Q23" s="412"/>
      <c r="R23" s="412">
        <f t="shared" si="2"/>
        <v>21</v>
      </c>
      <c r="S23" s="419" t="str">
        <f>IF(AND(CONSTRUCTIONS!K27="",CONSTRUCTIONS!L27=""),"",IF(CONSTRUCTIONS!K27&lt;&gt;"",VLOOKUP(CONSTRUCTIONS!K27,MatlsData,4,0),VLOOKUP(CONSTRUCTIONS!L27,MatlsData,4,0)))</f>
        <v/>
      </c>
      <c r="T23" s="419" t="str">
        <f>IF(AND(CONSTRUCTIONS!O27="",CONSTRUCTIONS!P27=""),"",IF(CONSTRUCTIONS!O27&lt;&gt;"",VLOOKUP(CONSTRUCTIONS!O27,MatlsData,4,0),VLOOKUP(CONSTRUCTIONS!P27,MatlsData,4,0)))</f>
        <v/>
      </c>
      <c r="U23" s="419" t="str">
        <f>IF(AND(CONSTRUCTIONS!S27="",CONSTRUCTIONS!T27=""),"",IF(CONSTRUCTIONS!S27&lt;&gt;"",VLOOKUP(CONSTRUCTIONS!S27,MatlsData,4,0),VLOOKUP(CONSTRUCTIONS!T27,MatlsData,4,0)))</f>
        <v/>
      </c>
      <c r="V23" s="419" t="str">
        <f>IF(AND(CONSTRUCTIONS!W27="",CONSTRUCTIONS!X27=""),"",IF(CONSTRUCTIONS!W27&lt;&gt;"",VLOOKUP(CONSTRUCTIONS!W27,MatlsData,4,0),VLOOKUP(CONSTRUCTIONS!X27,MatlsData,4,0)))</f>
        <v/>
      </c>
      <c r="W23" s="419" t="str">
        <f>IF(AND(CONSTRUCTIONS!AA27="",CONSTRUCTIONS!AB27=""),"",IF(CONSTRUCTIONS!AA27&lt;&gt;"",VLOOKUP(CONSTRUCTIONS!AA27,MatlsData,4,0),VLOOKUP(CONSTRUCTIONS!AB27,MatlsData,4,0)))</f>
        <v/>
      </c>
      <c r="X23" s="419" t="str">
        <f>IF(AND(CONSTRUCTIONS!AE27="",CONSTRUCTIONS!AF27=""),"",IF(CONSTRUCTIONS!AE27&lt;&gt;"",VLOOKUP(CONSTRUCTIONS!AE27,MatlsData,4,0),VLOOKUP(CONSTRUCTIONS!AF27,MatlsData,4,0)))</f>
        <v/>
      </c>
      <c r="Y23" s="419" t="str">
        <f>IF(AND(CONSTRUCTIONS!AH27="",CONSTRUCTIONS!AI27=""),"",IF(CONSTRUCTIONS!AH27&lt;&gt;"",VLOOKUP(CONSTRUCTIONS!AH27,MatlsData,4,0),VLOOKUP(CONSTRUCTIONS!AI27,MatlsData,4,0)))</f>
        <v/>
      </c>
      <c r="Z23" s="419" t="str">
        <f>IF(AND(CONSTRUCTIONS!AK27="",CONSTRUCTIONS!AL27=""),"",IF(CONSTRUCTIONS!AK27&lt;&gt;"",VLOOKUP(CONSTRUCTIONS!AK27,MatlsData,4,0),VLOOKUP(CONSTRUCTIONS!AL27,MatlsData,4,0)))</f>
        <v/>
      </c>
      <c r="AA23" s="420"/>
      <c r="AB23" s="412"/>
      <c r="AC23" s="412"/>
      <c r="AD23" s="412"/>
    </row>
    <row r="24" spans="1:30">
      <c r="A24" s="412"/>
      <c r="B24" s="412"/>
      <c r="C24" s="412">
        <f>MATERIALS!C29</f>
        <v>22</v>
      </c>
      <c r="D24" s="412" t="str">
        <f>IF(MATERIALS!D29="","",MATERIALS!D29)</f>
        <v/>
      </c>
      <c r="E24" s="412" t="str">
        <f t="shared" si="0"/>
        <v>Material 22</v>
      </c>
      <c r="F24" s="418">
        <f t="shared" si="1"/>
        <v>1E-3</v>
      </c>
      <c r="G24" s="412">
        <v>0.03</v>
      </c>
      <c r="H24" s="412">
        <f>MATERIALS!I29</f>
        <v>0</v>
      </c>
      <c r="I24" s="412" t="s">
        <v>633</v>
      </c>
      <c r="J24" s="412">
        <v>1</v>
      </c>
      <c r="K24" s="412">
        <v>1</v>
      </c>
      <c r="L24" s="412">
        <v>1</v>
      </c>
      <c r="M24" s="412">
        <v>1</v>
      </c>
      <c r="N24" s="412" t="str">
        <f>IF(MATERIALS!L29="","",MATERIALS!L29)</f>
        <v/>
      </c>
      <c r="O24" s="412" t="str">
        <f>IF(MATERIALS!M29="","",MATERIALS!M29)</f>
        <v/>
      </c>
      <c r="P24" s="412" t="str">
        <f>IF(MATERIALS!N29="","",MATERIALS!N29)</f>
        <v/>
      </c>
      <c r="Q24" s="412"/>
      <c r="R24" s="412">
        <f t="shared" si="2"/>
        <v>22</v>
      </c>
      <c r="S24" s="419" t="str">
        <f>IF(AND(CONSTRUCTIONS!K28="",CONSTRUCTIONS!L28=""),"",IF(CONSTRUCTIONS!K28&lt;&gt;"",VLOOKUP(CONSTRUCTIONS!K28,MatlsData,4,0),VLOOKUP(CONSTRUCTIONS!L28,MatlsData,4,0)))</f>
        <v/>
      </c>
      <c r="T24" s="419" t="str">
        <f>IF(AND(CONSTRUCTIONS!O28="",CONSTRUCTIONS!P28=""),"",IF(CONSTRUCTIONS!O28&lt;&gt;"",VLOOKUP(CONSTRUCTIONS!O28,MatlsData,4,0),VLOOKUP(CONSTRUCTIONS!P28,MatlsData,4,0)))</f>
        <v/>
      </c>
      <c r="U24" s="419" t="str">
        <f>IF(AND(CONSTRUCTIONS!S28="",CONSTRUCTIONS!T28=""),"",IF(CONSTRUCTIONS!S28&lt;&gt;"",VLOOKUP(CONSTRUCTIONS!S28,MatlsData,4,0),VLOOKUP(CONSTRUCTIONS!T28,MatlsData,4,0)))</f>
        <v/>
      </c>
      <c r="V24" s="419" t="str">
        <f>IF(AND(CONSTRUCTIONS!W28="",CONSTRUCTIONS!X28=""),"",IF(CONSTRUCTIONS!W28&lt;&gt;"",VLOOKUP(CONSTRUCTIONS!W28,MatlsData,4,0),VLOOKUP(CONSTRUCTIONS!X28,MatlsData,4,0)))</f>
        <v/>
      </c>
      <c r="W24" s="419" t="str">
        <f>IF(AND(CONSTRUCTIONS!AA28="",CONSTRUCTIONS!AB28=""),"",IF(CONSTRUCTIONS!AA28&lt;&gt;"",VLOOKUP(CONSTRUCTIONS!AA28,MatlsData,4,0),VLOOKUP(CONSTRUCTIONS!AB28,MatlsData,4,0)))</f>
        <v/>
      </c>
      <c r="X24" s="419" t="str">
        <f>IF(AND(CONSTRUCTIONS!AE28="",CONSTRUCTIONS!AF28=""),"",IF(CONSTRUCTIONS!AE28&lt;&gt;"",VLOOKUP(CONSTRUCTIONS!AE28,MatlsData,4,0),VLOOKUP(CONSTRUCTIONS!AF28,MatlsData,4,0)))</f>
        <v/>
      </c>
      <c r="Y24" s="419" t="str">
        <f>IF(AND(CONSTRUCTIONS!AH28="",CONSTRUCTIONS!AI28=""),"",IF(CONSTRUCTIONS!AH28&lt;&gt;"",VLOOKUP(CONSTRUCTIONS!AH28,MatlsData,4,0),VLOOKUP(CONSTRUCTIONS!AI28,MatlsData,4,0)))</f>
        <v/>
      </c>
      <c r="Z24" s="419" t="str">
        <f>IF(AND(CONSTRUCTIONS!AK28="",CONSTRUCTIONS!AL28=""),"",IF(CONSTRUCTIONS!AK28&lt;&gt;"",VLOOKUP(CONSTRUCTIONS!AK28,MatlsData,4,0),VLOOKUP(CONSTRUCTIONS!AL28,MatlsData,4,0)))</f>
        <v/>
      </c>
      <c r="AA24" s="420"/>
      <c r="AB24" s="412"/>
      <c r="AC24" s="412"/>
      <c r="AD24" s="412"/>
    </row>
    <row r="25" spans="1:30">
      <c r="A25" s="412"/>
      <c r="B25" s="412"/>
      <c r="C25" s="412">
        <f>MATERIALS!C30</f>
        <v>23</v>
      </c>
      <c r="D25" s="412" t="str">
        <f>IF(MATERIALS!D30="","",MATERIALS!D30)</f>
        <v/>
      </c>
      <c r="E25" s="412" t="str">
        <f t="shared" si="0"/>
        <v>Material 23</v>
      </c>
      <c r="F25" s="418">
        <f t="shared" si="1"/>
        <v>1E-3</v>
      </c>
      <c r="G25" s="412">
        <v>0.03</v>
      </c>
      <c r="H25" s="412">
        <f>MATERIALS!I30</f>
        <v>0</v>
      </c>
      <c r="I25" s="412" t="s">
        <v>633</v>
      </c>
      <c r="J25" s="412">
        <v>1</v>
      </c>
      <c r="K25" s="412">
        <v>1</v>
      </c>
      <c r="L25" s="412">
        <v>1</v>
      </c>
      <c r="M25" s="412">
        <v>1</v>
      </c>
      <c r="N25" s="412" t="str">
        <f>IF(MATERIALS!L30="","",MATERIALS!L30)</f>
        <v/>
      </c>
      <c r="O25" s="412" t="str">
        <f>IF(MATERIALS!M30="","",MATERIALS!M30)</f>
        <v/>
      </c>
      <c r="P25" s="412" t="str">
        <f>IF(MATERIALS!N30="","",MATERIALS!N30)</f>
        <v/>
      </c>
      <c r="Q25" s="412"/>
      <c r="R25" s="412">
        <f t="shared" si="2"/>
        <v>23</v>
      </c>
      <c r="S25" s="419" t="str">
        <f>IF(AND(CONSTRUCTIONS!K29="",CONSTRUCTIONS!L29=""),"",IF(CONSTRUCTIONS!K29&lt;&gt;"",VLOOKUP(CONSTRUCTIONS!K29,MatlsData,4,0),VLOOKUP(CONSTRUCTIONS!L29,MatlsData,4,0)))</f>
        <v/>
      </c>
      <c r="T25" s="419" t="str">
        <f>IF(AND(CONSTRUCTIONS!O29="",CONSTRUCTIONS!P29=""),"",IF(CONSTRUCTIONS!O29&lt;&gt;"",VLOOKUP(CONSTRUCTIONS!O29,MatlsData,4,0),VLOOKUP(CONSTRUCTIONS!P29,MatlsData,4,0)))</f>
        <v/>
      </c>
      <c r="U25" s="419" t="str">
        <f>IF(AND(CONSTRUCTIONS!S29="",CONSTRUCTIONS!T29=""),"",IF(CONSTRUCTIONS!S29&lt;&gt;"",VLOOKUP(CONSTRUCTIONS!S29,MatlsData,4,0),VLOOKUP(CONSTRUCTIONS!T29,MatlsData,4,0)))</f>
        <v/>
      </c>
      <c r="V25" s="419" t="str">
        <f>IF(AND(CONSTRUCTIONS!W29="",CONSTRUCTIONS!X29=""),"",IF(CONSTRUCTIONS!W29&lt;&gt;"",VLOOKUP(CONSTRUCTIONS!W29,MatlsData,4,0),VLOOKUP(CONSTRUCTIONS!X29,MatlsData,4,0)))</f>
        <v/>
      </c>
      <c r="W25" s="419" t="str">
        <f>IF(AND(CONSTRUCTIONS!AA29="",CONSTRUCTIONS!AB29=""),"",IF(CONSTRUCTIONS!AA29&lt;&gt;"",VLOOKUP(CONSTRUCTIONS!AA29,MatlsData,4,0),VLOOKUP(CONSTRUCTIONS!AB29,MatlsData,4,0)))</f>
        <v/>
      </c>
      <c r="X25" s="419" t="str">
        <f>IF(AND(CONSTRUCTIONS!AE29="",CONSTRUCTIONS!AF29=""),"",IF(CONSTRUCTIONS!AE29&lt;&gt;"",VLOOKUP(CONSTRUCTIONS!AE29,MatlsData,4,0),VLOOKUP(CONSTRUCTIONS!AF29,MatlsData,4,0)))</f>
        <v/>
      </c>
      <c r="Y25" s="419" t="str">
        <f>IF(AND(CONSTRUCTIONS!AH29="",CONSTRUCTIONS!AI29=""),"",IF(CONSTRUCTIONS!AH29&lt;&gt;"",VLOOKUP(CONSTRUCTIONS!AH29,MatlsData,4,0),VLOOKUP(CONSTRUCTIONS!AI29,MatlsData,4,0)))</f>
        <v/>
      </c>
      <c r="Z25" s="419" t="str">
        <f>IF(AND(CONSTRUCTIONS!AK29="",CONSTRUCTIONS!AL29=""),"",IF(CONSTRUCTIONS!AK29&lt;&gt;"",VLOOKUP(CONSTRUCTIONS!AK29,MatlsData,4,0),VLOOKUP(CONSTRUCTIONS!AL29,MatlsData,4,0)))</f>
        <v/>
      </c>
      <c r="AA25" s="420"/>
      <c r="AB25" s="412"/>
      <c r="AC25" s="412"/>
      <c r="AD25" s="412"/>
    </row>
    <row r="26" spans="1:30">
      <c r="A26" s="412"/>
      <c r="B26" s="412"/>
      <c r="C26" s="412">
        <f>MATERIALS!C31</f>
        <v>24</v>
      </c>
      <c r="D26" s="412" t="str">
        <f>IF(MATERIALS!D31="","",MATERIALS!D31)</f>
        <v/>
      </c>
      <c r="E26" s="412" t="str">
        <f t="shared" si="0"/>
        <v>Material 24</v>
      </c>
      <c r="F26" s="418">
        <f t="shared" si="1"/>
        <v>1E-3</v>
      </c>
      <c r="G26" s="412">
        <v>0.03</v>
      </c>
      <c r="H26" s="412">
        <f>MATERIALS!I31</f>
        <v>0</v>
      </c>
      <c r="I26" s="412" t="s">
        <v>633</v>
      </c>
      <c r="J26" s="412">
        <v>1</v>
      </c>
      <c r="K26" s="412">
        <v>1</v>
      </c>
      <c r="L26" s="412">
        <v>1</v>
      </c>
      <c r="M26" s="412">
        <v>1</v>
      </c>
      <c r="N26" s="412" t="str">
        <f>IF(MATERIALS!L31="","",MATERIALS!L31)</f>
        <v/>
      </c>
      <c r="O26" s="412" t="str">
        <f>IF(MATERIALS!M31="","",MATERIALS!M31)</f>
        <v/>
      </c>
      <c r="P26" s="412" t="str">
        <f>IF(MATERIALS!N31="","",MATERIALS!N31)</f>
        <v/>
      </c>
      <c r="Q26" s="412"/>
      <c r="R26" s="412">
        <f t="shared" si="2"/>
        <v>24</v>
      </c>
      <c r="S26" s="419" t="str">
        <f>IF(AND(CONSTRUCTIONS!K30="",CONSTRUCTIONS!L30=""),"",IF(CONSTRUCTIONS!K30&lt;&gt;"",VLOOKUP(CONSTRUCTIONS!K30,MatlsData,4,0),VLOOKUP(CONSTRUCTIONS!L30,MatlsData,4,0)))</f>
        <v/>
      </c>
      <c r="T26" s="419" t="str">
        <f>IF(AND(CONSTRUCTIONS!O30="",CONSTRUCTIONS!P30=""),"",IF(CONSTRUCTIONS!O30&lt;&gt;"",VLOOKUP(CONSTRUCTIONS!O30,MatlsData,4,0),VLOOKUP(CONSTRUCTIONS!P30,MatlsData,4,0)))</f>
        <v/>
      </c>
      <c r="U26" s="419" t="str">
        <f>IF(AND(CONSTRUCTIONS!S30="",CONSTRUCTIONS!T30=""),"",IF(CONSTRUCTIONS!S30&lt;&gt;"",VLOOKUP(CONSTRUCTIONS!S30,MatlsData,4,0),VLOOKUP(CONSTRUCTIONS!T30,MatlsData,4,0)))</f>
        <v/>
      </c>
      <c r="V26" s="419" t="str">
        <f>IF(AND(CONSTRUCTIONS!W30="",CONSTRUCTIONS!X30=""),"",IF(CONSTRUCTIONS!W30&lt;&gt;"",VLOOKUP(CONSTRUCTIONS!W30,MatlsData,4,0),VLOOKUP(CONSTRUCTIONS!X30,MatlsData,4,0)))</f>
        <v/>
      </c>
      <c r="W26" s="419" t="str">
        <f>IF(AND(CONSTRUCTIONS!AA30="",CONSTRUCTIONS!AB30=""),"",IF(CONSTRUCTIONS!AA30&lt;&gt;"",VLOOKUP(CONSTRUCTIONS!AA30,MatlsData,4,0),VLOOKUP(CONSTRUCTIONS!AB30,MatlsData,4,0)))</f>
        <v/>
      </c>
      <c r="X26" s="419" t="str">
        <f>IF(AND(CONSTRUCTIONS!AE30="",CONSTRUCTIONS!AF30=""),"",IF(CONSTRUCTIONS!AE30&lt;&gt;"",VLOOKUP(CONSTRUCTIONS!AE30,MatlsData,4,0),VLOOKUP(CONSTRUCTIONS!AF30,MatlsData,4,0)))</f>
        <v/>
      </c>
      <c r="Y26" s="419" t="str">
        <f>IF(AND(CONSTRUCTIONS!AH30="",CONSTRUCTIONS!AI30=""),"",IF(CONSTRUCTIONS!AH30&lt;&gt;"",VLOOKUP(CONSTRUCTIONS!AH30,MatlsData,4,0),VLOOKUP(CONSTRUCTIONS!AI30,MatlsData,4,0)))</f>
        <v/>
      </c>
      <c r="Z26" s="419" t="str">
        <f>IF(AND(CONSTRUCTIONS!AK30="",CONSTRUCTIONS!AL30=""),"",IF(CONSTRUCTIONS!AK30&lt;&gt;"",VLOOKUP(CONSTRUCTIONS!AK30,MatlsData,4,0),VLOOKUP(CONSTRUCTIONS!AL30,MatlsData,4,0)))</f>
        <v/>
      </c>
      <c r="AA26" s="420"/>
      <c r="AB26" s="412"/>
      <c r="AC26" s="412"/>
      <c r="AD26" s="412"/>
    </row>
    <row r="27" spans="1:30">
      <c r="A27" s="412"/>
      <c r="B27" s="412"/>
      <c r="C27" s="412">
        <f>MATERIALS!C32</f>
        <v>25</v>
      </c>
      <c r="D27" s="412" t="str">
        <f>IF(MATERIALS!D32="","",MATERIALS!D32)</f>
        <v/>
      </c>
      <c r="E27" s="412" t="str">
        <f t="shared" si="0"/>
        <v>Material 25</v>
      </c>
      <c r="F27" s="418">
        <f t="shared" si="1"/>
        <v>1E-3</v>
      </c>
      <c r="G27" s="412">
        <v>0.03</v>
      </c>
      <c r="H27" s="412">
        <f>MATERIALS!I32</f>
        <v>0</v>
      </c>
      <c r="I27" s="412" t="s">
        <v>633</v>
      </c>
      <c r="J27" s="412">
        <v>1</v>
      </c>
      <c r="K27" s="412">
        <v>1</v>
      </c>
      <c r="L27" s="412">
        <v>1</v>
      </c>
      <c r="M27" s="412">
        <v>1</v>
      </c>
      <c r="N27" s="412" t="str">
        <f>IF(MATERIALS!L32="","",MATERIALS!L32)</f>
        <v/>
      </c>
      <c r="O27" s="412" t="str">
        <f>IF(MATERIALS!M32="","",MATERIALS!M32)</f>
        <v/>
      </c>
      <c r="P27" s="412" t="str">
        <f>IF(MATERIALS!N32="","",MATERIALS!N32)</f>
        <v/>
      </c>
      <c r="Q27" s="412"/>
      <c r="R27" s="412"/>
      <c r="S27" s="412"/>
      <c r="T27" s="412"/>
      <c r="U27" s="412"/>
      <c r="V27" s="412"/>
      <c r="W27" s="412"/>
      <c r="X27" s="412"/>
      <c r="Y27" s="412"/>
      <c r="Z27" s="412"/>
      <c r="AA27" s="412"/>
      <c r="AB27" s="412"/>
      <c r="AC27" s="412"/>
      <c r="AD27" s="412"/>
    </row>
    <row r="28" spans="1:30">
      <c r="A28" s="412"/>
      <c r="B28" s="412"/>
      <c r="C28" s="412">
        <f>MATERIALS!C33</f>
        <v>26</v>
      </c>
      <c r="D28" s="412" t="str">
        <f>IF(MATERIALS!D33="","",MATERIALS!D33)</f>
        <v/>
      </c>
      <c r="E28" s="412" t="str">
        <f t="shared" si="0"/>
        <v>Material 26</v>
      </c>
      <c r="F28" s="418">
        <f t="shared" si="1"/>
        <v>1E-3</v>
      </c>
      <c r="G28" s="412">
        <v>0.03</v>
      </c>
      <c r="H28" s="412">
        <f>MATERIALS!I33</f>
        <v>0</v>
      </c>
      <c r="I28" s="412" t="s">
        <v>633</v>
      </c>
      <c r="J28" s="412">
        <v>1</v>
      </c>
      <c r="K28" s="412">
        <v>1</v>
      </c>
      <c r="L28" s="412">
        <v>1</v>
      </c>
      <c r="M28" s="412">
        <v>1</v>
      </c>
      <c r="N28" s="412" t="str">
        <f>IF(MATERIALS!L33="","",MATERIALS!L33)</f>
        <v/>
      </c>
      <c r="O28" s="412" t="str">
        <f>IF(MATERIALS!M33="","",MATERIALS!M33)</f>
        <v/>
      </c>
      <c r="P28" s="412" t="str">
        <f>IF(MATERIALS!N33="","",MATERIALS!N33)</f>
        <v/>
      </c>
      <c r="Q28" s="412"/>
      <c r="R28" s="412"/>
      <c r="S28" s="412"/>
      <c r="T28" s="412"/>
      <c r="U28" s="412"/>
      <c r="V28" s="412"/>
      <c r="W28" s="412"/>
      <c r="X28" s="412"/>
      <c r="Y28" s="412"/>
      <c r="Z28" s="412"/>
      <c r="AA28" s="412"/>
      <c r="AB28" s="412"/>
      <c r="AC28" s="412"/>
      <c r="AD28" s="412"/>
    </row>
    <row r="29" spans="1:30">
      <c r="A29" s="412"/>
      <c r="B29" s="412"/>
      <c r="C29" s="412">
        <f>MATERIALS!C34</f>
        <v>27</v>
      </c>
      <c r="D29" s="412" t="str">
        <f>IF(MATERIALS!D34="","",MATERIALS!D34)</f>
        <v/>
      </c>
      <c r="E29" s="412" t="str">
        <f t="shared" si="0"/>
        <v>Material 27</v>
      </c>
      <c r="F29" s="418">
        <f t="shared" si="1"/>
        <v>1E-3</v>
      </c>
      <c r="G29" s="412">
        <v>0.03</v>
      </c>
      <c r="H29" s="412">
        <f>MATERIALS!I34</f>
        <v>0</v>
      </c>
      <c r="I29" s="412" t="s">
        <v>633</v>
      </c>
      <c r="J29" s="412">
        <v>1</v>
      </c>
      <c r="K29" s="412">
        <v>1</v>
      </c>
      <c r="L29" s="412">
        <v>1</v>
      </c>
      <c r="M29" s="412">
        <v>1</v>
      </c>
      <c r="N29" s="412" t="str">
        <f>IF(MATERIALS!L34="","",MATERIALS!L34)</f>
        <v/>
      </c>
      <c r="O29" s="412" t="str">
        <f>IF(MATERIALS!M34="","",MATERIALS!M34)</f>
        <v/>
      </c>
      <c r="P29" s="412" t="str">
        <f>IF(MATERIALS!N34="","",MATERIALS!N34)</f>
        <v/>
      </c>
      <c r="Q29" s="412"/>
      <c r="R29" s="412"/>
      <c r="S29" s="412"/>
      <c r="T29" s="412"/>
      <c r="U29" s="412"/>
      <c r="V29" s="412"/>
      <c r="W29" s="412"/>
      <c r="X29" s="412"/>
      <c r="Y29" s="412"/>
      <c r="Z29" s="412"/>
      <c r="AA29" s="412"/>
      <c r="AB29" s="412"/>
      <c r="AC29" s="412"/>
      <c r="AD29" s="412"/>
    </row>
    <row r="30" spans="1:30">
      <c r="A30" s="412"/>
      <c r="B30" s="412"/>
      <c r="C30" s="412">
        <f>MATERIALS!C35</f>
        <v>28</v>
      </c>
      <c r="D30" s="412" t="str">
        <f>IF(MATERIALS!D35="","",MATERIALS!D35)</f>
        <v/>
      </c>
      <c r="E30" s="412" t="str">
        <f t="shared" si="0"/>
        <v>Material 28</v>
      </c>
      <c r="F30" s="418">
        <f t="shared" si="1"/>
        <v>1E-3</v>
      </c>
      <c r="G30" s="412">
        <v>0.03</v>
      </c>
      <c r="H30" s="412">
        <f>MATERIALS!I35</f>
        <v>0</v>
      </c>
      <c r="I30" s="412" t="s">
        <v>633</v>
      </c>
      <c r="J30" s="412">
        <v>1</v>
      </c>
      <c r="K30" s="412">
        <v>1</v>
      </c>
      <c r="L30" s="412">
        <v>1</v>
      </c>
      <c r="M30" s="412">
        <v>1</v>
      </c>
      <c r="N30" s="412" t="str">
        <f>IF(MATERIALS!L35="","",MATERIALS!L35)</f>
        <v/>
      </c>
      <c r="O30" s="412" t="str">
        <f>IF(MATERIALS!M35="","",MATERIALS!M35)</f>
        <v/>
      </c>
      <c r="P30" s="412" t="str">
        <f>IF(MATERIALS!N35="","",MATERIALS!N35)</f>
        <v/>
      </c>
      <c r="Q30" s="412"/>
      <c r="R30" s="412"/>
      <c r="S30" s="412"/>
      <c r="T30" s="412"/>
      <c r="U30" s="412"/>
      <c r="V30" s="412"/>
      <c r="W30" s="412"/>
      <c r="X30" s="412"/>
      <c r="Y30" s="412"/>
      <c r="Z30" s="412"/>
      <c r="AA30" s="412"/>
      <c r="AB30" s="412"/>
      <c r="AC30" s="412"/>
      <c r="AD30" s="412"/>
    </row>
    <row r="31" spans="1:30">
      <c r="A31" s="412"/>
      <c r="B31" s="412"/>
      <c r="C31" s="412">
        <f>MATERIALS!C36</f>
        <v>29</v>
      </c>
      <c r="D31" s="412" t="str">
        <f>IF(MATERIALS!D36="","",MATERIALS!D36)</f>
        <v/>
      </c>
      <c r="E31" s="412" t="str">
        <f t="shared" si="0"/>
        <v>Material 29</v>
      </c>
      <c r="F31" s="418">
        <f t="shared" si="1"/>
        <v>1E-3</v>
      </c>
      <c r="G31" s="412">
        <v>0.03</v>
      </c>
      <c r="H31" s="412">
        <f>MATERIALS!I36</f>
        <v>0</v>
      </c>
      <c r="I31" s="412" t="s">
        <v>633</v>
      </c>
      <c r="J31" s="412">
        <v>1</v>
      </c>
      <c r="K31" s="412">
        <v>1</v>
      </c>
      <c r="L31" s="412">
        <v>1</v>
      </c>
      <c r="M31" s="412">
        <v>1</v>
      </c>
      <c r="N31" s="412" t="str">
        <f>IF(MATERIALS!L36="","",MATERIALS!L36)</f>
        <v/>
      </c>
      <c r="O31" s="412" t="str">
        <f>IF(MATERIALS!M36="","",MATERIALS!M36)</f>
        <v/>
      </c>
      <c r="P31" s="412" t="str">
        <f>IF(MATERIALS!N36="","",MATERIALS!N36)</f>
        <v/>
      </c>
      <c r="Q31" s="412"/>
      <c r="R31" s="412"/>
      <c r="S31" s="412"/>
      <c r="T31" s="412"/>
      <c r="U31" s="412"/>
      <c r="V31" s="412"/>
      <c r="W31" s="412"/>
      <c r="X31" s="412"/>
      <c r="Y31" s="412"/>
      <c r="Z31" s="412"/>
      <c r="AA31" s="412"/>
      <c r="AB31" s="412"/>
      <c r="AC31" s="412"/>
      <c r="AD31" s="412"/>
    </row>
    <row r="32" spans="1:30">
      <c r="A32" s="412"/>
      <c r="B32" s="412"/>
      <c r="C32" s="412">
        <f>MATERIALS!C37</f>
        <v>30</v>
      </c>
      <c r="D32" s="412" t="str">
        <f>IF(MATERIALS!D37="","",MATERIALS!D37)</f>
        <v/>
      </c>
      <c r="E32" s="412" t="str">
        <f t="shared" si="0"/>
        <v>Material 30</v>
      </c>
      <c r="F32" s="418">
        <f t="shared" si="1"/>
        <v>1E-3</v>
      </c>
      <c r="G32" s="412">
        <v>0.03</v>
      </c>
      <c r="H32" s="412">
        <f>MATERIALS!I37</f>
        <v>0</v>
      </c>
      <c r="I32" s="412" t="s">
        <v>633</v>
      </c>
      <c r="J32" s="412">
        <v>1</v>
      </c>
      <c r="K32" s="412">
        <v>1</v>
      </c>
      <c r="L32" s="412">
        <v>1</v>
      </c>
      <c r="M32" s="412">
        <v>1</v>
      </c>
      <c r="N32" s="412" t="str">
        <f>IF(MATERIALS!L37="","",MATERIALS!L37)</f>
        <v/>
      </c>
      <c r="O32" s="412" t="str">
        <f>IF(MATERIALS!M37="","",MATERIALS!M37)</f>
        <v/>
      </c>
      <c r="P32" s="412" t="str">
        <f>IF(MATERIALS!N37="","",MATERIALS!N37)</f>
        <v/>
      </c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</row>
    <row r="33" spans="1:30">
      <c r="A33" s="412"/>
      <c r="B33" s="412"/>
      <c r="C33" s="412">
        <f>MATERIALS!C38</f>
        <v>31</v>
      </c>
      <c r="D33" s="412" t="str">
        <f>IF(MATERIALS!D38="","",MATERIALS!D38)</f>
        <v/>
      </c>
      <c r="E33" s="412" t="str">
        <f t="shared" si="0"/>
        <v>Material 31</v>
      </c>
      <c r="F33" s="418">
        <f t="shared" si="1"/>
        <v>1E-3</v>
      </c>
      <c r="G33" s="412">
        <v>0.03</v>
      </c>
      <c r="H33" s="412">
        <f>MATERIALS!I38</f>
        <v>0</v>
      </c>
      <c r="I33" s="412" t="s">
        <v>633</v>
      </c>
      <c r="J33" s="412">
        <v>1</v>
      </c>
      <c r="K33" s="412">
        <v>1</v>
      </c>
      <c r="L33" s="412">
        <v>1</v>
      </c>
      <c r="M33" s="412">
        <v>1</v>
      </c>
      <c r="N33" s="412" t="str">
        <f>IF(MATERIALS!L38="","",MATERIALS!L38)</f>
        <v/>
      </c>
      <c r="O33" s="412" t="str">
        <f>IF(MATERIALS!M38="","",MATERIALS!M38)</f>
        <v/>
      </c>
      <c r="P33" s="412" t="str">
        <f>IF(MATERIALS!N38="","",MATERIALS!N38)</f>
        <v/>
      </c>
      <c r="Q33" s="412"/>
      <c r="R33" s="412"/>
      <c r="S33" s="412"/>
      <c r="T33" s="412"/>
      <c r="U33" s="412"/>
      <c r="V33" s="412"/>
      <c r="W33" s="412"/>
      <c r="X33" s="412"/>
      <c r="Y33" s="412"/>
      <c r="Z33" s="412"/>
      <c r="AA33" s="412"/>
      <c r="AB33" s="412"/>
      <c r="AC33" s="412"/>
      <c r="AD33" s="412"/>
    </row>
    <row r="34" spans="1:30">
      <c r="A34" s="412"/>
      <c r="B34" s="412"/>
      <c r="C34" s="412">
        <f>MATERIALS!C39</f>
        <v>32</v>
      </c>
      <c r="D34" s="412" t="str">
        <f>IF(MATERIALS!D39="","",MATERIALS!D39)</f>
        <v/>
      </c>
      <c r="E34" s="412" t="str">
        <f t="shared" ref="E34:E65" si="3">"Material "&amp;C34</f>
        <v>Material 32</v>
      </c>
      <c r="F34" s="418">
        <f t="shared" si="1"/>
        <v>1E-3</v>
      </c>
      <c r="G34" s="412">
        <v>0.03</v>
      </c>
      <c r="H34" s="412">
        <f>MATERIALS!I39</f>
        <v>0</v>
      </c>
      <c r="I34" s="412" t="s">
        <v>633</v>
      </c>
      <c r="J34" s="412">
        <v>1</v>
      </c>
      <c r="K34" s="412">
        <v>1</v>
      </c>
      <c r="L34" s="412">
        <v>1</v>
      </c>
      <c r="M34" s="412">
        <v>1</v>
      </c>
      <c r="N34" s="412" t="str">
        <f>IF(MATERIALS!L39="","",MATERIALS!L39)</f>
        <v/>
      </c>
      <c r="O34" s="412" t="str">
        <f>IF(MATERIALS!M39="","",MATERIALS!M39)</f>
        <v/>
      </c>
      <c r="P34" s="412" t="str">
        <f>IF(MATERIALS!N39="","",MATERIALS!N39)</f>
        <v/>
      </c>
      <c r="Q34" s="412"/>
      <c r="R34" s="412"/>
      <c r="S34" s="412"/>
      <c r="T34" s="412"/>
      <c r="U34" s="412"/>
      <c r="V34" s="412"/>
      <c r="W34" s="412"/>
      <c r="X34" s="412"/>
      <c r="Y34" s="412"/>
      <c r="Z34" s="412"/>
      <c r="AA34" s="412"/>
      <c r="AB34" s="412"/>
      <c r="AC34" s="412"/>
      <c r="AD34" s="412"/>
    </row>
    <row r="35" spans="1:30">
      <c r="A35" s="412"/>
      <c r="B35" s="412"/>
      <c r="C35" s="412">
        <f>MATERIALS!C40</f>
        <v>33</v>
      </c>
      <c r="D35" s="412" t="str">
        <f>IF(MATERIALS!D40="","",MATERIALS!D40)</f>
        <v/>
      </c>
      <c r="E35" s="412" t="str">
        <f t="shared" si="3"/>
        <v>Material 33</v>
      </c>
      <c r="F35" s="418">
        <f t="shared" ref="F35:F66" si="4">1/K35*J35/1000</f>
        <v>1E-3</v>
      </c>
      <c r="G35" s="412">
        <v>0.03</v>
      </c>
      <c r="H35" s="412">
        <f>MATERIALS!I40</f>
        <v>0</v>
      </c>
      <c r="I35" s="412" t="s">
        <v>633</v>
      </c>
      <c r="J35" s="412">
        <v>1</v>
      </c>
      <c r="K35" s="412">
        <v>1</v>
      </c>
      <c r="L35" s="412">
        <v>1</v>
      </c>
      <c r="M35" s="412">
        <v>1</v>
      </c>
      <c r="N35" s="412" t="str">
        <f>IF(MATERIALS!L40="","",MATERIALS!L40)</f>
        <v/>
      </c>
      <c r="O35" s="412" t="str">
        <f>IF(MATERIALS!M40="","",MATERIALS!M40)</f>
        <v/>
      </c>
      <c r="P35" s="412" t="str">
        <f>IF(MATERIALS!N40="","",MATERIALS!N40)</f>
        <v/>
      </c>
      <c r="Q35" s="412"/>
      <c r="R35" s="412"/>
      <c r="S35" s="412"/>
      <c r="T35" s="412"/>
      <c r="U35" s="412"/>
      <c r="V35" s="412"/>
      <c r="W35" s="412"/>
      <c r="X35" s="412"/>
      <c r="Y35" s="412"/>
      <c r="Z35" s="412"/>
      <c r="AA35" s="412"/>
      <c r="AB35" s="412"/>
      <c r="AC35" s="412"/>
      <c r="AD35" s="412"/>
    </row>
    <row r="36" spans="1:30">
      <c r="A36" s="412"/>
      <c r="B36" s="412"/>
      <c r="C36" s="412">
        <f>MATERIALS!C41</f>
        <v>34</v>
      </c>
      <c r="D36" s="412" t="str">
        <f>IF(MATERIALS!D41="","",MATERIALS!D41)</f>
        <v/>
      </c>
      <c r="E36" s="412" t="str">
        <f t="shared" si="3"/>
        <v>Material 34</v>
      </c>
      <c r="F36" s="418">
        <f t="shared" si="4"/>
        <v>1E-3</v>
      </c>
      <c r="G36" s="412">
        <v>0.03</v>
      </c>
      <c r="H36" s="412">
        <f>MATERIALS!I41</f>
        <v>0</v>
      </c>
      <c r="I36" s="412" t="s">
        <v>633</v>
      </c>
      <c r="J36" s="412">
        <v>1</v>
      </c>
      <c r="K36" s="412">
        <v>1</v>
      </c>
      <c r="L36" s="412">
        <v>1</v>
      </c>
      <c r="M36" s="412">
        <v>1</v>
      </c>
      <c r="N36" s="412" t="str">
        <f>IF(MATERIALS!L41="","",MATERIALS!L41)</f>
        <v/>
      </c>
      <c r="O36" s="412" t="str">
        <f>IF(MATERIALS!M41="","",MATERIALS!M41)</f>
        <v/>
      </c>
      <c r="P36" s="412" t="str">
        <f>IF(MATERIALS!N41="","",MATERIALS!N41)</f>
        <v/>
      </c>
      <c r="Q36" s="412"/>
      <c r="R36" s="412"/>
      <c r="S36" s="412"/>
      <c r="T36" s="412"/>
      <c r="U36" s="412"/>
      <c r="V36" s="412"/>
      <c r="W36" s="412"/>
      <c r="X36" s="412"/>
      <c r="Y36" s="412"/>
      <c r="Z36" s="412"/>
      <c r="AA36" s="412"/>
      <c r="AB36" s="412"/>
      <c r="AC36" s="412"/>
      <c r="AD36" s="412"/>
    </row>
    <row r="37" spans="1:30">
      <c r="A37" s="412"/>
      <c r="B37" s="412"/>
      <c r="C37" s="412">
        <f>MATERIALS!C42</f>
        <v>35</v>
      </c>
      <c r="D37" s="412" t="str">
        <f>IF(MATERIALS!D42="","",MATERIALS!D42)</f>
        <v/>
      </c>
      <c r="E37" s="412" t="str">
        <f t="shared" si="3"/>
        <v>Material 35</v>
      </c>
      <c r="F37" s="418">
        <f t="shared" si="4"/>
        <v>1E-3</v>
      </c>
      <c r="G37" s="412">
        <v>0.03</v>
      </c>
      <c r="H37" s="412">
        <f>MATERIALS!I42</f>
        <v>0</v>
      </c>
      <c r="I37" s="412" t="s">
        <v>633</v>
      </c>
      <c r="J37" s="412">
        <v>1</v>
      </c>
      <c r="K37" s="412">
        <v>1</v>
      </c>
      <c r="L37" s="412">
        <v>1</v>
      </c>
      <c r="M37" s="412">
        <v>1</v>
      </c>
      <c r="N37" s="412" t="str">
        <f>IF(MATERIALS!L42="","",MATERIALS!L42)</f>
        <v/>
      </c>
      <c r="O37" s="412" t="str">
        <f>IF(MATERIALS!M42="","",MATERIALS!M42)</f>
        <v/>
      </c>
      <c r="P37" s="412" t="str">
        <f>IF(MATERIALS!N42="","",MATERIALS!N42)</f>
        <v/>
      </c>
      <c r="Q37" s="412"/>
      <c r="R37" s="412"/>
      <c r="S37" s="412"/>
      <c r="T37" s="412"/>
      <c r="U37" s="412"/>
      <c r="V37" s="412"/>
      <c r="W37" s="412"/>
      <c r="X37" s="412"/>
      <c r="Y37" s="412"/>
      <c r="Z37" s="412"/>
      <c r="AA37" s="412"/>
      <c r="AB37" s="412"/>
      <c r="AC37" s="412"/>
      <c r="AD37" s="412"/>
    </row>
    <row r="38" spans="1:30">
      <c r="A38" s="412"/>
      <c r="B38" s="412"/>
      <c r="C38" s="412">
        <f>MATERIALS!C43</f>
        <v>36</v>
      </c>
      <c r="D38" s="412" t="str">
        <f>IF(MATERIALS!D43="","",MATERIALS!D43)</f>
        <v/>
      </c>
      <c r="E38" s="412" t="str">
        <f t="shared" si="3"/>
        <v>Material 36</v>
      </c>
      <c r="F38" s="418">
        <f t="shared" si="4"/>
        <v>1E-3</v>
      </c>
      <c r="G38" s="412">
        <v>0.03</v>
      </c>
      <c r="H38" s="412">
        <f>MATERIALS!I43</f>
        <v>0</v>
      </c>
      <c r="I38" s="412" t="s">
        <v>633</v>
      </c>
      <c r="J38" s="412">
        <v>1</v>
      </c>
      <c r="K38" s="412">
        <v>1</v>
      </c>
      <c r="L38" s="412">
        <v>1</v>
      </c>
      <c r="M38" s="412">
        <v>1</v>
      </c>
      <c r="N38" s="412" t="str">
        <f>IF(MATERIALS!L43="","",MATERIALS!L43)</f>
        <v/>
      </c>
      <c r="O38" s="412" t="str">
        <f>IF(MATERIALS!M43="","",MATERIALS!M43)</f>
        <v/>
      </c>
      <c r="P38" s="412" t="str">
        <f>IF(MATERIALS!N43="","",MATERIALS!N43)</f>
        <v/>
      </c>
      <c r="Q38" s="412"/>
      <c r="R38" s="412"/>
      <c r="S38" s="412"/>
      <c r="T38" s="412"/>
      <c r="U38" s="412"/>
      <c r="V38" s="412"/>
      <c r="W38" s="412"/>
      <c r="X38" s="412"/>
      <c r="Y38" s="412"/>
      <c r="Z38" s="412"/>
      <c r="AA38" s="412"/>
      <c r="AB38" s="412"/>
      <c r="AC38" s="412"/>
      <c r="AD38" s="412"/>
    </row>
    <row r="39" spans="1:30">
      <c r="A39" s="412"/>
      <c r="B39" s="412"/>
      <c r="C39" s="412">
        <f>MATERIALS!C44</f>
        <v>37</v>
      </c>
      <c r="D39" s="412" t="str">
        <f>IF(MATERIALS!D44="","",MATERIALS!D44)</f>
        <v/>
      </c>
      <c r="E39" s="412" t="str">
        <f t="shared" si="3"/>
        <v>Material 37</v>
      </c>
      <c r="F39" s="418">
        <f t="shared" si="4"/>
        <v>1E-3</v>
      </c>
      <c r="G39" s="412">
        <v>0.03</v>
      </c>
      <c r="H39" s="412">
        <f>MATERIALS!I44</f>
        <v>0</v>
      </c>
      <c r="I39" s="412" t="s">
        <v>633</v>
      </c>
      <c r="J39" s="412">
        <v>1</v>
      </c>
      <c r="K39" s="412">
        <v>1</v>
      </c>
      <c r="L39" s="412">
        <v>1</v>
      </c>
      <c r="M39" s="412">
        <v>1</v>
      </c>
      <c r="N39" s="412" t="str">
        <f>IF(MATERIALS!L44="","",MATERIALS!L44)</f>
        <v/>
      </c>
      <c r="O39" s="412" t="str">
        <f>IF(MATERIALS!M44="","",MATERIALS!M44)</f>
        <v/>
      </c>
      <c r="P39" s="412" t="str">
        <f>IF(MATERIALS!N44="","",MATERIALS!N44)</f>
        <v/>
      </c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412"/>
      <c r="AD39" s="412"/>
    </row>
    <row r="40" spans="1:30">
      <c r="A40" s="412"/>
      <c r="B40" s="412"/>
      <c r="C40" s="412">
        <f>MATERIALS!C45</f>
        <v>38</v>
      </c>
      <c r="D40" s="412" t="str">
        <f>IF(MATERIALS!D45="","",MATERIALS!D45)</f>
        <v/>
      </c>
      <c r="E40" s="412" t="str">
        <f t="shared" si="3"/>
        <v>Material 38</v>
      </c>
      <c r="F40" s="418">
        <f t="shared" si="4"/>
        <v>1E-3</v>
      </c>
      <c r="G40" s="412">
        <v>0.03</v>
      </c>
      <c r="H40" s="412">
        <f>MATERIALS!I45</f>
        <v>0</v>
      </c>
      <c r="I40" s="412" t="s">
        <v>633</v>
      </c>
      <c r="J40" s="412">
        <v>1</v>
      </c>
      <c r="K40" s="412">
        <v>1</v>
      </c>
      <c r="L40" s="412">
        <v>1</v>
      </c>
      <c r="M40" s="412">
        <v>1</v>
      </c>
      <c r="N40" s="412" t="str">
        <f>IF(MATERIALS!L45="","",MATERIALS!L45)</f>
        <v/>
      </c>
      <c r="O40" s="412" t="str">
        <f>IF(MATERIALS!M45="","",MATERIALS!M45)</f>
        <v/>
      </c>
      <c r="P40" s="412" t="str">
        <f>IF(MATERIALS!N45="","",MATERIALS!N45)</f>
        <v/>
      </c>
      <c r="Q40" s="412"/>
      <c r="R40" s="412"/>
      <c r="S40" s="412"/>
      <c r="T40" s="412"/>
      <c r="U40" s="412"/>
      <c r="V40" s="412"/>
      <c r="W40" s="412"/>
      <c r="X40" s="412"/>
      <c r="Y40" s="412"/>
      <c r="Z40" s="412"/>
      <c r="AA40" s="412"/>
      <c r="AB40" s="412"/>
      <c r="AC40" s="412"/>
      <c r="AD40" s="412"/>
    </row>
    <row r="41" spans="1:30">
      <c r="A41" s="412"/>
      <c r="B41" s="412"/>
      <c r="C41" s="412">
        <f>MATERIALS!C46</f>
        <v>39</v>
      </c>
      <c r="D41" s="412" t="str">
        <f>IF(MATERIALS!D46="","",MATERIALS!D46)</f>
        <v/>
      </c>
      <c r="E41" s="412" t="str">
        <f t="shared" si="3"/>
        <v>Material 39</v>
      </c>
      <c r="F41" s="418">
        <f t="shared" si="4"/>
        <v>1E-3</v>
      </c>
      <c r="G41" s="412">
        <v>0.03</v>
      </c>
      <c r="H41" s="412">
        <f>MATERIALS!I46</f>
        <v>0</v>
      </c>
      <c r="I41" s="412" t="s">
        <v>633</v>
      </c>
      <c r="J41" s="412">
        <v>1</v>
      </c>
      <c r="K41" s="412">
        <v>1</v>
      </c>
      <c r="L41" s="412">
        <v>1</v>
      </c>
      <c r="M41" s="412">
        <v>1</v>
      </c>
      <c r="N41" s="412" t="str">
        <f>IF(MATERIALS!L46="","",MATERIALS!L46)</f>
        <v/>
      </c>
      <c r="O41" s="412" t="str">
        <f>IF(MATERIALS!M46="","",MATERIALS!M46)</f>
        <v/>
      </c>
      <c r="P41" s="412" t="str">
        <f>IF(MATERIALS!N46="","",MATERIALS!N46)</f>
        <v/>
      </c>
      <c r="Q41" s="412"/>
      <c r="R41" s="412"/>
      <c r="S41" s="412"/>
      <c r="T41" s="412"/>
      <c r="U41" s="412"/>
      <c r="V41" s="412"/>
      <c r="W41" s="412"/>
      <c r="X41" s="412"/>
      <c r="Y41" s="412"/>
      <c r="Z41" s="412"/>
      <c r="AA41" s="412"/>
      <c r="AB41" s="412"/>
      <c r="AC41" s="412"/>
      <c r="AD41" s="412"/>
    </row>
    <row r="42" spans="1:30">
      <c r="A42" s="412"/>
      <c r="B42" s="412"/>
      <c r="C42" s="412">
        <f>MATERIALS!C47</f>
        <v>40</v>
      </c>
      <c r="D42" s="412" t="str">
        <f>IF(MATERIALS!D47="","",MATERIALS!D47)</f>
        <v/>
      </c>
      <c r="E42" s="412" t="str">
        <f t="shared" si="3"/>
        <v>Material 40</v>
      </c>
      <c r="F42" s="418">
        <f t="shared" si="4"/>
        <v>1E-3</v>
      </c>
      <c r="G42" s="412">
        <v>0.03</v>
      </c>
      <c r="H42" s="412">
        <f>MATERIALS!I47</f>
        <v>0</v>
      </c>
      <c r="I42" s="412" t="s">
        <v>633</v>
      </c>
      <c r="J42" s="412">
        <v>1</v>
      </c>
      <c r="K42" s="412">
        <v>1</v>
      </c>
      <c r="L42" s="412">
        <v>1</v>
      </c>
      <c r="M42" s="412">
        <v>1</v>
      </c>
      <c r="N42" s="412" t="str">
        <f>IF(MATERIALS!L47="","",MATERIALS!L47)</f>
        <v/>
      </c>
      <c r="O42" s="412" t="str">
        <f>IF(MATERIALS!M47="","",MATERIALS!M47)</f>
        <v/>
      </c>
      <c r="P42" s="412" t="str">
        <f>IF(MATERIALS!N47="","",MATERIALS!N47)</f>
        <v/>
      </c>
      <c r="Q42" s="412"/>
      <c r="R42" s="412"/>
      <c r="S42" s="412"/>
      <c r="T42" s="412"/>
      <c r="U42" s="412"/>
      <c r="V42" s="412"/>
      <c r="W42" s="412"/>
      <c r="X42" s="412"/>
      <c r="Y42" s="412"/>
      <c r="Z42" s="412"/>
      <c r="AA42" s="412"/>
      <c r="AB42" s="412"/>
      <c r="AC42" s="412"/>
      <c r="AD42" s="412"/>
    </row>
    <row r="43" spans="1:30">
      <c r="A43" s="412"/>
      <c r="B43" s="412"/>
      <c r="C43" s="412">
        <f>MATERIALS!C48</f>
        <v>41</v>
      </c>
      <c r="D43" s="412" t="str">
        <f>IF(MATERIALS!D48="","",MATERIALS!D48)</f>
        <v/>
      </c>
      <c r="E43" s="412" t="str">
        <f t="shared" si="3"/>
        <v>Material 41</v>
      </c>
      <c r="F43" s="418">
        <f t="shared" si="4"/>
        <v>1E-3</v>
      </c>
      <c r="G43" s="412">
        <v>0.03</v>
      </c>
      <c r="H43" s="412">
        <f>MATERIALS!I48</f>
        <v>0</v>
      </c>
      <c r="I43" s="412" t="s">
        <v>633</v>
      </c>
      <c r="J43" s="412">
        <v>1</v>
      </c>
      <c r="K43" s="412">
        <v>1</v>
      </c>
      <c r="L43" s="412">
        <v>1</v>
      </c>
      <c r="M43" s="412">
        <v>1</v>
      </c>
      <c r="N43" s="412" t="str">
        <f>IF(MATERIALS!L48="","",MATERIALS!L48)</f>
        <v/>
      </c>
      <c r="O43" s="412" t="str">
        <f>IF(MATERIALS!M48="","",MATERIALS!M48)</f>
        <v/>
      </c>
      <c r="P43" s="412" t="str">
        <f>IF(MATERIALS!N48="","",MATERIALS!N48)</f>
        <v/>
      </c>
      <c r="Q43" s="412"/>
      <c r="R43" s="412"/>
      <c r="S43" s="412"/>
      <c r="T43" s="412"/>
      <c r="U43" s="412"/>
      <c r="V43" s="412"/>
      <c r="W43" s="412"/>
      <c r="X43" s="412"/>
      <c r="Y43" s="412"/>
      <c r="Z43" s="412"/>
      <c r="AA43" s="412"/>
      <c r="AB43" s="412"/>
      <c r="AC43" s="412"/>
      <c r="AD43" s="412"/>
    </row>
    <row r="44" spans="1:30">
      <c r="A44" s="412"/>
      <c r="B44" s="412"/>
      <c r="C44" s="412">
        <f>MATERIALS!C49</f>
        <v>42</v>
      </c>
      <c r="D44" s="412" t="str">
        <f>IF(MATERIALS!D49="","",MATERIALS!D49)</f>
        <v/>
      </c>
      <c r="E44" s="412" t="str">
        <f t="shared" si="3"/>
        <v>Material 42</v>
      </c>
      <c r="F44" s="418">
        <f t="shared" si="4"/>
        <v>1E-3</v>
      </c>
      <c r="G44" s="412">
        <v>0.03</v>
      </c>
      <c r="H44" s="412">
        <f>MATERIALS!I49</f>
        <v>0</v>
      </c>
      <c r="I44" s="412" t="s">
        <v>633</v>
      </c>
      <c r="J44" s="412">
        <v>1</v>
      </c>
      <c r="K44" s="412">
        <v>1</v>
      </c>
      <c r="L44" s="412">
        <v>1</v>
      </c>
      <c r="M44" s="412">
        <v>1</v>
      </c>
      <c r="N44" s="412" t="str">
        <f>IF(MATERIALS!L49="","",MATERIALS!L49)</f>
        <v/>
      </c>
      <c r="O44" s="412" t="str">
        <f>IF(MATERIALS!M49="","",MATERIALS!M49)</f>
        <v/>
      </c>
      <c r="P44" s="412" t="str">
        <f>IF(MATERIALS!N49="","",MATERIALS!N49)</f>
        <v/>
      </c>
      <c r="Q44" s="412"/>
      <c r="R44" s="412"/>
      <c r="S44" s="412"/>
      <c r="T44" s="412"/>
      <c r="U44" s="412"/>
      <c r="V44" s="412"/>
      <c r="W44" s="412"/>
      <c r="X44" s="412"/>
      <c r="Y44" s="412"/>
      <c r="Z44" s="412"/>
      <c r="AA44" s="412"/>
      <c r="AB44" s="412"/>
      <c r="AC44" s="412"/>
      <c r="AD44" s="412"/>
    </row>
    <row r="45" spans="1:30">
      <c r="A45" s="412"/>
      <c r="B45" s="412"/>
      <c r="C45" s="412">
        <f>MATERIALS!C50</f>
        <v>43</v>
      </c>
      <c r="D45" s="412" t="str">
        <f>IF(MATERIALS!D50="","",MATERIALS!D50)</f>
        <v/>
      </c>
      <c r="E45" s="412" t="str">
        <f t="shared" si="3"/>
        <v>Material 43</v>
      </c>
      <c r="F45" s="418">
        <f t="shared" si="4"/>
        <v>1E-3</v>
      </c>
      <c r="G45" s="412">
        <v>0.03</v>
      </c>
      <c r="H45" s="412">
        <f>MATERIALS!I50</f>
        <v>0</v>
      </c>
      <c r="I45" s="412" t="s">
        <v>633</v>
      </c>
      <c r="J45" s="412">
        <v>1</v>
      </c>
      <c r="K45" s="412">
        <v>1</v>
      </c>
      <c r="L45" s="412">
        <v>1</v>
      </c>
      <c r="M45" s="412">
        <v>1</v>
      </c>
      <c r="N45" s="412" t="str">
        <f>IF(MATERIALS!L50="","",MATERIALS!L50)</f>
        <v/>
      </c>
      <c r="O45" s="412" t="str">
        <f>IF(MATERIALS!M50="","",MATERIALS!M50)</f>
        <v/>
      </c>
      <c r="P45" s="412" t="str">
        <f>IF(MATERIALS!N50="","",MATERIALS!N50)</f>
        <v/>
      </c>
      <c r="Q45" s="412"/>
      <c r="R45" s="412"/>
      <c r="S45" s="412"/>
      <c r="T45" s="412"/>
      <c r="U45" s="412"/>
      <c r="V45" s="412"/>
      <c r="W45" s="412"/>
      <c r="X45" s="412"/>
      <c r="Y45" s="412"/>
      <c r="Z45" s="412"/>
      <c r="AA45" s="412"/>
      <c r="AB45" s="412"/>
      <c r="AC45" s="412"/>
      <c r="AD45" s="412"/>
    </row>
    <row r="46" spans="1:30">
      <c r="A46" s="412"/>
      <c r="B46" s="412"/>
      <c r="C46" s="412">
        <f>MATERIALS!C51</f>
        <v>44</v>
      </c>
      <c r="D46" s="412" t="str">
        <f>IF(MATERIALS!D51="","",MATERIALS!D51)</f>
        <v/>
      </c>
      <c r="E46" s="412" t="str">
        <f t="shared" si="3"/>
        <v>Material 44</v>
      </c>
      <c r="F46" s="418">
        <f t="shared" si="4"/>
        <v>1E-3</v>
      </c>
      <c r="G46" s="412">
        <v>0.03</v>
      </c>
      <c r="H46" s="412">
        <f>MATERIALS!I51</f>
        <v>0</v>
      </c>
      <c r="I46" s="412" t="s">
        <v>633</v>
      </c>
      <c r="J46" s="412">
        <v>1</v>
      </c>
      <c r="K46" s="412">
        <v>1</v>
      </c>
      <c r="L46" s="412">
        <v>1</v>
      </c>
      <c r="M46" s="412">
        <v>1</v>
      </c>
      <c r="N46" s="412" t="str">
        <f>IF(MATERIALS!L51="","",MATERIALS!L51)</f>
        <v/>
      </c>
      <c r="O46" s="412" t="str">
        <f>IF(MATERIALS!M51="","",MATERIALS!M51)</f>
        <v/>
      </c>
      <c r="P46" s="412" t="str">
        <f>IF(MATERIALS!N51="","",MATERIALS!N51)</f>
        <v/>
      </c>
      <c r="Q46" s="412"/>
      <c r="R46" s="412"/>
      <c r="S46" s="412"/>
      <c r="T46" s="412"/>
      <c r="U46" s="412"/>
      <c r="V46" s="412"/>
      <c r="W46" s="412"/>
      <c r="X46" s="412"/>
      <c r="Y46" s="412"/>
      <c r="Z46" s="412"/>
      <c r="AA46" s="412"/>
      <c r="AB46" s="412"/>
      <c r="AC46" s="412"/>
      <c r="AD46" s="412"/>
    </row>
    <row r="47" spans="1:30">
      <c r="A47" s="412"/>
      <c r="B47" s="412"/>
      <c r="C47" s="412">
        <f>MATERIALS!C52</f>
        <v>45</v>
      </c>
      <c r="D47" s="412" t="str">
        <f>IF(MATERIALS!D52="","",MATERIALS!D52)</f>
        <v/>
      </c>
      <c r="E47" s="412" t="str">
        <f t="shared" si="3"/>
        <v>Material 45</v>
      </c>
      <c r="F47" s="418">
        <f t="shared" si="4"/>
        <v>1E-3</v>
      </c>
      <c r="G47" s="412">
        <v>0.03</v>
      </c>
      <c r="H47" s="412">
        <f>MATERIALS!I52</f>
        <v>0</v>
      </c>
      <c r="I47" s="412" t="s">
        <v>633</v>
      </c>
      <c r="J47" s="412">
        <v>1</v>
      </c>
      <c r="K47" s="412">
        <v>1</v>
      </c>
      <c r="L47" s="412">
        <v>1</v>
      </c>
      <c r="M47" s="412">
        <v>1</v>
      </c>
      <c r="N47" s="412" t="str">
        <f>IF(MATERIALS!L52="","",MATERIALS!L52)</f>
        <v/>
      </c>
      <c r="O47" s="412" t="str">
        <f>IF(MATERIALS!M52="","",MATERIALS!M52)</f>
        <v/>
      </c>
      <c r="P47" s="412" t="str">
        <f>IF(MATERIALS!N52="","",MATERIALS!N52)</f>
        <v/>
      </c>
      <c r="Q47" s="412"/>
      <c r="R47" s="412"/>
      <c r="S47" s="412"/>
      <c r="T47" s="412"/>
      <c r="U47" s="412"/>
      <c r="V47" s="412"/>
      <c r="W47" s="412"/>
      <c r="X47" s="412"/>
      <c r="Y47" s="412"/>
      <c r="Z47" s="412"/>
      <c r="AA47" s="412"/>
      <c r="AB47" s="412"/>
      <c r="AC47" s="412"/>
      <c r="AD47" s="412"/>
    </row>
    <row r="48" spans="1:30">
      <c r="A48" s="412"/>
      <c r="B48" s="412"/>
      <c r="C48" s="412">
        <f>MATERIALS!C53</f>
        <v>46</v>
      </c>
      <c r="D48" s="412" t="str">
        <f>IF(MATERIALS!D53="","",MATERIALS!D53)</f>
        <v/>
      </c>
      <c r="E48" s="412" t="str">
        <f t="shared" si="3"/>
        <v>Material 46</v>
      </c>
      <c r="F48" s="418">
        <f t="shared" si="4"/>
        <v>1E-3</v>
      </c>
      <c r="G48" s="412">
        <v>0.03</v>
      </c>
      <c r="H48" s="412">
        <f>MATERIALS!I53</f>
        <v>0</v>
      </c>
      <c r="I48" s="412" t="s">
        <v>633</v>
      </c>
      <c r="J48" s="412">
        <v>1</v>
      </c>
      <c r="K48" s="412">
        <v>1</v>
      </c>
      <c r="L48" s="412">
        <v>1</v>
      </c>
      <c r="M48" s="412">
        <v>1</v>
      </c>
      <c r="N48" s="412" t="str">
        <f>IF(MATERIALS!L53="","",MATERIALS!L53)</f>
        <v/>
      </c>
      <c r="O48" s="412" t="str">
        <f>IF(MATERIALS!M53="","",MATERIALS!M53)</f>
        <v/>
      </c>
      <c r="P48" s="412" t="str">
        <f>IF(MATERIALS!N53="","",MATERIALS!N53)</f>
        <v/>
      </c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12"/>
      <c r="AB48" s="412"/>
      <c r="AC48" s="412"/>
      <c r="AD48" s="412"/>
    </row>
    <row r="49" spans="1:30">
      <c r="A49" s="412"/>
      <c r="B49" s="412"/>
      <c r="C49" s="412">
        <f>MATERIALS!C54</f>
        <v>47</v>
      </c>
      <c r="D49" s="412" t="str">
        <f>IF(MATERIALS!D54="","",MATERIALS!D54)</f>
        <v/>
      </c>
      <c r="E49" s="412" t="str">
        <f t="shared" si="3"/>
        <v>Material 47</v>
      </c>
      <c r="F49" s="418">
        <f t="shared" si="4"/>
        <v>1E-3</v>
      </c>
      <c r="G49" s="412">
        <v>0.03</v>
      </c>
      <c r="H49" s="412">
        <f>MATERIALS!I54</f>
        <v>0</v>
      </c>
      <c r="I49" s="412" t="s">
        <v>633</v>
      </c>
      <c r="J49" s="412">
        <v>1</v>
      </c>
      <c r="K49" s="412">
        <v>1</v>
      </c>
      <c r="L49" s="412">
        <v>1</v>
      </c>
      <c r="M49" s="412">
        <v>1</v>
      </c>
      <c r="N49" s="412" t="str">
        <f>IF(MATERIALS!L54="","",MATERIALS!L54)</f>
        <v/>
      </c>
      <c r="O49" s="412" t="str">
        <f>IF(MATERIALS!M54="","",MATERIALS!M54)</f>
        <v/>
      </c>
      <c r="P49" s="412" t="str">
        <f>IF(MATERIALS!N54="","",MATERIALS!N54)</f>
        <v/>
      </c>
      <c r="Q49" s="412"/>
      <c r="R49" s="412"/>
      <c r="S49" s="412"/>
      <c r="T49" s="412"/>
      <c r="U49" s="412"/>
      <c r="V49" s="412"/>
      <c r="W49" s="412"/>
      <c r="X49" s="412"/>
      <c r="Y49" s="412"/>
      <c r="Z49" s="412"/>
      <c r="AA49" s="412"/>
      <c r="AB49" s="412"/>
      <c r="AC49" s="412"/>
      <c r="AD49" s="412"/>
    </row>
    <row r="50" spans="1:30">
      <c r="A50" s="412"/>
      <c r="B50" s="412"/>
      <c r="C50" s="412">
        <f>MATERIALS!C55</f>
        <v>48</v>
      </c>
      <c r="D50" s="412" t="str">
        <f>IF(MATERIALS!D55="","",MATERIALS!D55)</f>
        <v/>
      </c>
      <c r="E50" s="412" t="str">
        <f t="shared" si="3"/>
        <v>Material 48</v>
      </c>
      <c r="F50" s="418">
        <f t="shared" si="4"/>
        <v>1E-3</v>
      </c>
      <c r="G50" s="412">
        <v>0.03</v>
      </c>
      <c r="H50" s="412">
        <f>MATERIALS!I55</f>
        <v>0</v>
      </c>
      <c r="I50" s="412" t="s">
        <v>633</v>
      </c>
      <c r="J50" s="412">
        <v>1</v>
      </c>
      <c r="K50" s="412">
        <v>1</v>
      </c>
      <c r="L50" s="412">
        <v>1</v>
      </c>
      <c r="M50" s="412">
        <v>1</v>
      </c>
      <c r="N50" s="412" t="str">
        <f>IF(MATERIALS!L55="","",MATERIALS!L55)</f>
        <v/>
      </c>
      <c r="O50" s="412" t="str">
        <f>IF(MATERIALS!M55="","",MATERIALS!M55)</f>
        <v/>
      </c>
      <c r="P50" s="412" t="str">
        <f>IF(MATERIALS!N55="","",MATERIALS!N55)</f>
        <v/>
      </c>
      <c r="Q50" s="412"/>
      <c r="R50" s="412"/>
      <c r="S50" s="412"/>
      <c r="T50" s="412"/>
      <c r="U50" s="412"/>
      <c r="V50" s="412"/>
      <c r="W50" s="412"/>
      <c r="X50" s="412"/>
      <c r="Y50" s="412"/>
      <c r="Z50" s="412"/>
      <c r="AA50" s="412"/>
      <c r="AB50" s="412"/>
      <c r="AC50" s="412"/>
      <c r="AD50" s="412"/>
    </row>
    <row r="51" spans="1:30">
      <c r="A51" s="412"/>
      <c r="B51" s="412"/>
      <c r="C51" s="412">
        <f>MATERIALS!C56</f>
        <v>49</v>
      </c>
      <c r="D51" s="412" t="str">
        <f>IF(MATERIALS!D56="","",MATERIALS!D56)</f>
        <v/>
      </c>
      <c r="E51" s="412" t="str">
        <f t="shared" si="3"/>
        <v>Material 49</v>
      </c>
      <c r="F51" s="418">
        <f t="shared" si="4"/>
        <v>1E-3</v>
      </c>
      <c r="G51" s="412">
        <v>0.03</v>
      </c>
      <c r="H51" s="412">
        <f>MATERIALS!I56</f>
        <v>0</v>
      </c>
      <c r="I51" s="412" t="s">
        <v>633</v>
      </c>
      <c r="J51" s="412">
        <v>1</v>
      </c>
      <c r="K51" s="412">
        <v>1</v>
      </c>
      <c r="L51" s="412">
        <v>1</v>
      </c>
      <c r="M51" s="412">
        <v>1</v>
      </c>
      <c r="N51" s="412" t="str">
        <f>IF(MATERIALS!L56="","",MATERIALS!L56)</f>
        <v/>
      </c>
      <c r="O51" s="412" t="str">
        <f>IF(MATERIALS!M56="","",MATERIALS!M56)</f>
        <v/>
      </c>
      <c r="P51" s="412" t="str">
        <f>IF(MATERIALS!N56="","",MATERIALS!N56)</f>
        <v/>
      </c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412"/>
      <c r="AB51" s="412"/>
      <c r="AC51" s="412"/>
      <c r="AD51" s="412"/>
    </row>
    <row r="52" spans="1:30">
      <c r="A52" s="412"/>
      <c r="B52" s="412"/>
      <c r="C52" s="412">
        <f>MATERIALS!C57</f>
        <v>50</v>
      </c>
      <c r="D52" s="412" t="str">
        <f>IF(MATERIALS!D57="","",MATERIALS!D57)</f>
        <v/>
      </c>
      <c r="E52" s="412" t="str">
        <f t="shared" si="3"/>
        <v>Material 50</v>
      </c>
      <c r="F52" s="418">
        <f t="shared" si="4"/>
        <v>1E-3</v>
      </c>
      <c r="G52" s="412">
        <v>0.03</v>
      </c>
      <c r="H52" s="412">
        <f>MATERIALS!I57</f>
        <v>0</v>
      </c>
      <c r="I52" s="412" t="s">
        <v>633</v>
      </c>
      <c r="J52" s="412">
        <v>1</v>
      </c>
      <c r="K52" s="412">
        <v>1</v>
      </c>
      <c r="L52" s="412">
        <v>1</v>
      </c>
      <c r="M52" s="412">
        <v>1</v>
      </c>
      <c r="N52" s="412" t="str">
        <f>IF(MATERIALS!L57="","",MATERIALS!L57)</f>
        <v/>
      </c>
      <c r="O52" s="412" t="str">
        <f>IF(MATERIALS!M57="","",MATERIALS!M57)</f>
        <v/>
      </c>
      <c r="P52" s="412" t="str">
        <f>IF(MATERIALS!N57="","",MATERIALS!N57)</f>
        <v/>
      </c>
      <c r="Q52" s="412"/>
      <c r="R52" s="412"/>
      <c r="S52" s="412"/>
      <c r="T52" s="412"/>
      <c r="U52" s="412"/>
      <c r="V52" s="412"/>
      <c r="W52" s="412"/>
      <c r="X52" s="412"/>
      <c r="Y52" s="412"/>
      <c r="Z52" s="412"/>
      <c r="AA52" s="412"/>
      <c r="AB52" s="412"/>
      <c r="AC52" s="412"/>
      <c r="AD52" s="412"/>
    </row>
    <row r="53" spans="1:30">
      <c r="A53" s="412"/>
      <c r="B53" s="412"/>
      <c r="C53" s="412">
        <f>MATERIALS!C58</f>
        <v>51</v>
      </c>
      <c r="D53" s="412" t="str">
        <f>IF(MATERIALS!D58="","",MATERIALS!D58)</f>
        <v/>
      </c>
      <c r="E53" s="412" t="str">
        <f t="shared" si="3"/>
        <v>Material 51</v>
      </c>
      <c r="F53" s="418">
        <f t="shared" si="4"/>
        <v>1E-3</v>
      </c>
      <c r="G53" s="412">
        <v>0.03</v>
      </c>
      <c r="H53" s="412">
        <f>MATERIALS!I58</f>
        <v>0</v>
      </c>
      <c r="I53" s="412" t="s">
        <v>633</v>
      </c>
      <c r="J53" s="412">
        <v>1</v>
      </c>
      <c r="K53" s="412">
        <v>1</v>
      </c>
      <c r="L53" s="412">
        <v>1</v>
      </c>
      <c r="M53" s="412">
        <v>1</v>
      </c>
      <c r="N53" s="412" t="str">
        <f>IF(MATERIALS!L58="","",MATERIALS!L58)</f>
        <v/>
      </c>
      <c r="O53" s="412" t="str">
        <f>IF(MATERIALS!M58="","",MATERIALS!M58)</f>
        <v/>
      </c>
      <c r="P53" s="412" t="str">
        <f>IF(MATERIALS!N58="","",MATERIALS!N58)</f>
        <v/>
      </c>
      <c r="Q53" s="412"/>
      <c r="R53" s="412"/>
      <c r="S53" s="412"/>
      <c r="T53" s="412"/>
      <c r="U53" s="412"/>
      <c r="V53" s="412"/>
      <c r="W53" s="412"/>
      <c r="X53" s="412"/>
      <c r="Y53" s="412"/>
      <c r="Z53" s="412"/>
      <c r="AA53" s="412"/>
      <c r="AB53" s="412"/>
      <c r="AC53" s="412"/>
      <c r="AD53" s="412"/>
    </row>
    <row r="54" spans="1:30">
      <c r="A54" s="412"/>
      <c r="B54" s="412"/>
      <c r="C54" s="412">
        <f>MATERIALS!C59</f>
        <v>52</v>
      </c>
      <c r="D54" s="412" t="str">
        <f>IF(MATERIALS!D59="","",MATERIALS!D59)</f>
        <v/>
      </c>
      <c r="E54" s="412" t="str">
        <f t="shared" si="3"/>
        <v>Material 52</v>
      </c>
      <c r="F54" s="418">
        <f t="shared" si="4"/>
        <v>1E-3</v>
      </c>
      <c r="G54" s="412">
        <v>0.03</v>
      </c>
      <c r="H54" s="412">
        <f>MATERIALS!I59</f>
        <v>0</v>
      </c>
      <c r="I54" s="412" t="s">
        <v>633</v>
      </c>
      <c r="J54" s="412">
        <v>1</v>
      </c>
      <c r="K54" s="412">
        <v>1</v>
      </c>
      <c r="L54" s="412">
        <v>1</v>
      </c>
      <c r="M54" s="412">
        <v>1</v>
      </c>
      <c r="N54" s="412" t="str">
        <f>IF(MATERIALS!L59="","",MATERIALS!L59)</f>
        <v/>
      </c>
      <c r="O54" s="412" t="str">
        <f>IF(MATERIALS!M59="","",MATERIALS!M59)</f>
        <v/>
      </c>
      <c r="P54" s="412" t="str">
        <f>IF(MATERIALS!N59="","",MATERIALS!N59)</f>
        <v/>
      </c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  <c r="AC54" s="412"/>
      <c r="AD54" s="412"/>
    </row>
    <row r="55" spans="1:30">
      <c r="A55" s="412"/>
      <c r="B55" s="412"/>
      <c r="C55" s="412">
        <f>MATERIALS!C60</f>
        <v>53</v>
      </c>
      <c r="D55" s="412" t="str">
        <f>IF(MATERIALS!D60="","",MATERIALS!D60)</f>
        <v/>
      </c>
      <c r="E55" s="412" t="str">
        <f t="shared" si="3"/>
        <v>Material 53</v>
      </c>
      <c r="F55" s="418">
        <f t="shared" si="4"/>
        <v>1E-3</v>
      </c>
      <c r="G55" s="412">
        <v>0.03</v>
      </c>
      <c r="H55" s="412">
        <f>MATERIALS!I60</f>
        <v>0</v>
      </c>
      <c r="I55" s="412" t="s">
        <v>633</v>
      </c>
      <c r="J55" s="412">
        <v>1</v>
      </c>
      <c r="K55" s="412">
        <v>1</v>
      </c>
      <c r="L55" s="412">
        <v>1</v>
      </c>
      <c r="M55" s="412">
        <v>1</v>
      </c>
      <c r="N55" s="412" t="str">
        <f>IF(MATERIALS!L60="","",MATERIALS!L60)</f>
        <v/>
      </c>
      <c r="O55" s="412" t="str">
        <f>IF(MATERIALS!M60="","",MATERIALS!M60)</f>
        <v/>
      </c>
      <c r="P55" s="412" t="str">
        <f>IF(MATERIALS!N60="","",MATERIALS!N60)</f>
        <v/>
      </c>
      <c r="Q55" s="412"/>
      <c r="R55" s="412"/>
      <c r="S55" s="412"/>
      <c r="T55" s="412"/>
      <c r="U55" s="412"/>
      <c r="V55" s="412"/>
      <c r="W55" s="412"/>
      <c r="X55" s="412"/>
      <c r="Y55" s="412"/>
      <c r="Z55" s="412"/>
      <c r="AA55" s="412"/>
      <c r="AB55" s="412"/>
      <c r="AC55" s="412"/>
      <c r="AD55" s="412"/>
    </row>
    <row r="56" spans="1:30">
      <c r="A56" s="412"/>
      <c r="B56" s="412"/>
      <c r="C56" s="412">
        <f>MATERIALS!C61</f>
        <v>54</v>
      </c>
      <c r="D56" s="412" t="str">
        <f>IF(MATERIALS!D61="","",MATERIALS!D61)</f>
        <v/>
      </c>
      <c r="E56" s="412" t="str">
        <f t="shared" si="3"/>
        <v>Material 54</v>
      </c>
      <c r="F56" s="418">
        <f t="shared" si="4"/>
        <v>1E-3</v>
      </c>
      <c r="G56" s="412">
        <v>0.03</v>
      </c>
      <c r="H56" s="412">
        <f>MATERIALS!I61</f>
        <v>0</v>
      </c>
      <c r="I56" s="412" t="s">
        <v>633</v>
      </c>
      <c r="J56" s="412">
        <v>1</v>
      </c>
      <c r="K56" s="412">
        <v>1</v>
      </c>
      <c r="L56" s="412">
        <v>1</v>
      </c>
      <c r="M56" s="412">
        <v>1</v>
      </c>
      <c r="N56" s="412" t="str">
        <f>IF(MATERIALS!L61="","",MATERIALS!L61)</f>
        <v/>
      </c>
      <c r="O56" s="412" t="str">
        <f>IF(MATERIALS!M61="","",MATERIALS!M61)</f>
        <v/>
      </c>
      <c r="P56" s="412" t="str">
        <f>IF(MATERIALS!N61="","",MATERIALS!N61)</f>
        <v/>
      </c>
      <c r="Q56" s="412"/>
      <c r="R56" s="412"/>
      <c r="S56" s="412"/>
      <c r="T56" s="412"/>
      <c r="U56" s="412"/>
      <c r="V56" s="412"/>
      <c r="W56" s="412"/>
      <c r="X56" s="412"/>
      <c r="Y56" s="412"/>
      <c r="Z56" s="412"/>
      <c r="AA56" s="412"/>
      <c r="AB56" s="412"/>
      <c r="AC56" s="412"/>
      <c r="AD56" s="412"/>
    </row>
    <row r="57" spans="1:30">
      <c r="A57" s="412"/>
      <c r="B57" s="412"/>
      <c r="C57" s="412">
        <f>MATERIALS!C62</f>
        <v>55</v>
      </c>
      <c r="D57" s="412" t="str">
        <f>IF(MATERIALS!D62="","",MATERIALS!D62)</f>
        <v/>
      </c>
      <c r="E57" s="412" t="str">
        <f t="shared" si="3"/>
        <v>Material 55</v>
      </c>
      <c r="F57" s="418">
        <f t="shared" si="4"/>
        <v>1E-3</v>
      </c>
      <c r="G57" s="412">
        <v>0.03</v>
      </c>
      <c r="H57" s="412">
        <f>MATERIALS!I62</f>
        <v>0</v>
      </c>
      <c r="I57" s="412" t="s">
        <v>633</v>
      </c>
      <c r="J57" s="412">
        <v>1</v>
      </c>
      <c r="K57" s="412">
        <v>1</v>
      </c>
      <c r="L57" s="412">
        <v>1</v>
      </c>
      <c r="M57" s="412">
        <v>1</v>
      </c>
      <c r="N57" s="412" t="str">
        <f>IF(MATERIALS!L62="","",MATERIALS!L62)</f>
        <v/>
      </c>
      <c r="O57" s="412" t="str">
        <f>IF(MATERIALS!M62="","",MATERIALS!M62)</f>
        <v/>
      </c>
      <c r="P57" s="412" t="str">
        <f>IF(MATERIALS!N62="","",MATERIALS!N62)</f>
        <v/>
      </c>
      <c r="Q57" s="412"/>
      <c r="R57" s="412"/>
      <c r="S57" s="412"/>
      <c r="T57" s="412"/>
      <c r="U57" s="412"/>
      <c r="V57" s="412"/>
      <c r="W57" s="412"/>
      <c r="X57" s="412"/>
      <c r="Y57" s="412"/>
      <c r="Z57" s="412"/>
      <c r="AA57" s="412"/>
      <c r="AB57" s="412"/>
      <c r="AC57" s="412"/>
      <c r="AD57" s="412"/>
    </row>
    <row r="58" spans="1:30">
      <c r="A58" s="412"/>
      <c r="B58" s="412"/>
      <c r="C58" s="412">
        <f>MATERIALS!C63</f>
        <v>56</v>
      </c>
      <c r="D58" s="412" t="str">
        <f>IF(MATERIALS!D63="","",MATERIALS!D63)</f>
        <v/>
      </c>
      <c r="E58" s="412" t="str">
        <f t="shared" si="3"/>
        <v>Material 56</v>
      </c>
      <c r="F58" s="418">
        <f t="shared" si="4"/>
        <v>1E-3</v>
      </c>
      <c r="G58" s="412">
        <v>0.03</v>
      </c>
      <c r="H58" s="412">
        <f>MATERIALS!I63</f>
        <v>0</v>
      </c>
      <c r="I58" s="412" t="s">
        <v>633</v>
      </c>
      <c r="J58" s="412">
        <v>1</v>
      </c>
      <c r="K58" s="412">
        <v>1</v>
      </c>
      <c r="L58" s="412">
        <v>1</v>
      </c>
      <c r="M58" s="412">
        <v>1</v>
      </c>
      <c r="N58" s="412" t="str">
        <f>IF(MATERIALS!L63="","",MATERIALS!L63)</f>
        <v/>
      </c>
      <c r="O58" s="412" t="str">
        <f>IF(MATERIALS!M63="","",MATERIALS!M63)</f>
        <v/>
      </c>
      <c r="P58" s="412" t="str">
        <f>IF(MATERIALS!N63="","",MATERIALS!N63)</f>
        <v/>
      </c>
      <c r="Q58" s="412"/>
      <c r="R58" s="412"/>
      <c r="S58" s="412"/>
      <c r="T58" s="412"/>
      <c r="U58" s="412"/>
      <c r="V58" s="412"/>
      <c r="W58" s="412"/>
      <c r="X58" s="412"/>
      <c r="Y58" s="412"/>
      <c r="Z58" s="412"/>
      <c r="AA58" s="412"/>
      <c r="AB58" s="412"/>
      <c r="AC58" s="412"/>
      <c r="AD58" s="412"/>
    </row>
    <row r="59" spans="1:30">
      <c r="A59" s="412"/>
      <c r="B59" s="412"/>
      <c r="C59" s="412">
        <f>MATERIALS!C64</f>
        <v>57</v>
      </c>
      <c r="D59" s="412" t="str">
        <f>IF(MATERIALS!D64="","",MATERIALS!D64)</f>
        <v/>
      </c>
      <c r="E59" s="412" t="str">
        <f t="shared" si="3"/>
        <v>Material 57</v>
      </c>
      <c r="F59" s="418">
        <f t="shared" si="4"/>
        <v>1E-3</v>
      </c>
      <c r="G59" s="412">
        <v>0.03</v>
      </c>
      <c r="H59" s="412">
        <f>MATERIALS!I64</f>
        <v>0</v>
      </c>
      <c r="I59" s="412" t="s">
        <v>633</v>
      </c>
      <c r="J59" s="412">
        <v>1</v>
      </c>
      <c r="K59" s="412">
        <v>1</v>
      </c>
      <c r="L59" s="412">
        <v>1</v>
      </c>
      <c r="M59" s="412">
        <v>1</v>
      </c>
      <c r="N59" s="412" t="str">
        <f>IF(MATERIALS!L64="","",MATERIALS!L64)</f>
        <v/>
      </c>
      <c r="O59" s="412" t="str">
        <f>IF(MATERIALS!M64="","",MATERIALS!M64)</f>
        <v/>
      </c>
      <c r="P59" s="412" t="str">
        <f>IF(MATERIALS!N64="","",MATERIALS!N64)</f>
        <v/>
      </c>
      <c r="Q59" s="412"/>
      <c r="R59" s="412"/>
      <c r="S59" s="412"/>
      <c r="T59" s="412"/>
      <c r="U59" s="412"/>
      <c r="V59" s="412"/>
      <c r="W59" s="412"/>
      <c r="X59" s="412"/>
      <c r="Y59" s="412"/>
      <c r="Z59" s="412"/>
      <c r="AA59" s="412"/>
      <c r="AB59" s="412"/>
      <c r="AC59" s="412"/>
      <c r="AD59" s="412"/>
    </row>
    <row r="60" spans="1:30">
      <c r="A60" s="412"/>
      <c r="B60" s="412"/>
      <c r="C60" s="412">
        <f>MATERIALS!C65</f>
        <v>58</v>
      </c>
      <c r="D60" s="412" t="str">
        <f>IF(MATERIALS!D65="","",MATERIALS!D65)</f>
        <v/>
      </c>
      <c r="E60" s="412" t="str">
        <f t="shared" si="3"/>
        <v>Material 58</v>
      </c>
      <c r="F60" s="418">
        <f t="shared" si="4"/>
        <v>1E-3</v>
      </c>
      <c r="G60" s="412">
        <v>0.03</v>
      </c>
      <c r="H60" s="412">
        <f>MATERIALS!I65</f>
        <v>0</v>
      </c>
      <c r="I60" s="412" t="s">
        <v>633</v>
      </c>
      <c r="J60" s="412">
        <v>1</v>
      </c>
      <c r="K60" s="412">
        <v>1</v>
      </c>
      <c r="L60" s="412">
        <v>1</v>
      </c>
      <c r="M60" s="412">
        <v>1</v>
      </c>
      <c r="N60" s="412" t="str">
        <f>IF(MATERIALS!L65="","",MATERIALS!L65)</f>
        <v/>
      </c>
      <c r="O60" s="412" t="str">
        <f>IF(MATERIALS!M65="","",MATERIALS!M65)</f>
        <v/>
      </c>
      <c r="P60" s="412" t="str">
        <f>IF(MATERIALS!N65="","",MATERIALS!N65)</f>
        <v/>
      </c>
      <c r="Q60" s="412"/>
      <c r="R60" s="412"/>
      <c r="S60" s="412"/>
      <c r="T60" s="412"/>
      <c r="U60" s="412"/>
      <c r="V60" s="412"/>
      <c r="W60" s="412"/>
      <c r="X60" s="412"/>
      <c r="Y60" s="412"/>
      <c r="Z60" s="412"/>
      <c r="AA60" s="412"/>
      <c r="AB60" s="412"/>
      <c r="AC60" s="412"/>
      <c r="AD60" s="412"/>
    </row>
    <row r="61" spans="1:30">
      <c r="A61" s="412"/>
      <c r="B61" s="412"/>
      <c r="C61" s="412">
        <f>MATERIALS!C66</f>
        <v>59</v>
      </c>
      <c r="D61" s="412" t="str">
        <f>IF(MATERIALS!D66="","",MATERIALS!D66)</f>
        <v/>
      </c>
      <c r="E61" s="412" t="str">
        <f t="shared" si="3"/>
        <v>Material 59</v>
      </c>
      <c r="F61" s="418">
        <f t="shared" si="4"/>
        <v>1E-3</v>
      </c>
      <c r="G61" s="412">
        <v>0.03</v>
      </c>
      <c r="H61" s="412">
        <f>MATERIALS!I66</f>
        <v>0</v>
      </c>
      <c r="I61" s="412" t="s">
        <v>633</v>
      </c>
      <c r="J61" s="412">
        <v>1</v>
      </c>
      <c r="K61" s="412">
        <v>1</v>
      </c>
      <c r="L61" s="412">
        <v>1</v>
      </c>
      <c r="M61" s="412">
        <v>1</v>
      </c>
      <c r="N61" s="412" t="str">
        <f>IF(MATERIALS!L66="","",MATERIALS!L66)</f>
        <v/>
      </c>
      <c r="O61" s="412" t="str">
        <f>IF(MATERIALS!M66="","",MATERIALS!M66)</f>
        <v/>
      </c>
      <c r="P61" s="412" t="str">
        <f>IF(MATERIALS!N66="","",MATERIALS!N66)</f>
        <v/>
      </c>
      <c r="Q61" s="412"/>
      <c r="R61" s="412"/>
      <c r="S61" s="412"/>
      <c r="T61" s="412"/>
      <c r="U61" s="412"/>
      <c r="V61" s="412"/>
      <c r="W61" s="412"/>
      <c r="X61" s="412"/>
      <c r="Y61" s="412"/>
      <c r="Z61" s="412"/>
      <c r="AA61" s="412"/>
      <c r="AB61" s="412"/>
      <c r="AC61" s="412"/>
      <c r="AD61" s="412"/>
    </row>
    <row r="62" spans="1:30">
      <c r="A62" s="412"/>
      <c r="B62" s="412"/>
      <c r="C62" s="412">
        <f>MATERIALS!C67</f>
        <v>60</v>
      </c>
      <c r="D62" s="412" t="str">
        <f>IF(MATERIALS!D67="","",MATERIALS!D67)</f>
        <v/>
      </c>
      <c r="E62" s="412" t="str">
        <f t="shared" si="3"/>
        <v>Material 60</v>
      </c>
      <c r="F62" s="418">
        <f t="shared" si="4"/>
        <v>1E-3</v>
      </c>
      <c r="G62" s="412">
        <v>0.03</v>
      </c>
      <c r="H62" s="412">
        <f>MATERIALS!I67</f>
        <v>0</v>
      </c>
      <c r="I62" s="412" t="s">
        <v>633</v>
      </c>
      <c r="J62" s="412">
        <v>1</v>
      </c>
      <c r="K62" s="412">
        <v>1</v>
      </c>
      <c r="L62" s="412">
        <v>1</v>
      </c>
      <c r="M62" s="412">
        <v>1</v>
      </c>
      <c r="N62" s="412" t="str">
        <f>IF(MATERIALS!L67="","",MATERIALS!L67)</f>
        <v/>
      </c>
      <c r="O62" s="412" t="str">
        <f>IF(MATERIALS!M67="","",MATERIALS!M67)</f>
        <v/>
      </c>
      <c r="P62" s="412" t="str">
        <f>IF(MATERIALS!N67="","",MATERIALS!N67)</f>
        <v/>
      </c>
      <c r="Q62" s="412"/>
      <c r="R62" s="412"/>
      <c r="S62" s="412"/>
      <c r="T62" s="412"/>
      <c r="U62" s="412"/>
      <c r="V62" s="412"/>
      <c r="W62" s="412"/>
      <c r="X62" s="412"/>
      <c r="Y62" s="412"/>
      <c r="Z62" s="412"/>
      <c r="AA62" s="412"/>
      <c r="AB62" s="412"/>
      <c r="AC62" s="412"/>
      <c r="AD62" s="412"/>
    </row>
    <row r="63" spans="1:30">
      <c r="A63" s="412"/>
      <c r="B63" s="412"/>
      <c r="C63" s="412">
        <f>MATERIALS!C68</f>
        <v>61</v>
      </c>
      <c r="D63" s="412" t="str">
        <f>IF(MATERIALS!D68="","",MATERIALS!D68)</f>
        <v/>
      </c>
      <c r="E63" s="412" t="str">
        <f t="shared" si="3"/>
        <v>Material 61</v>
      </c>
      <c r="F63" s="418">
        <f t="shared" si="4"/>
        <v>1E-3</v>
      </c>
      <c r="G63" s="412">
        <v>0.03</v>
      </c>
      <c r="H63" s="412">
        <f>MATERIALS!I68</f>
        <v>0</v>
      </c>
      <c r="I63" s="412" t="s">
        <v>633</v>
      </c>
      <c r="J63" s="412">
        <v>1</v>
      </c>
      <c r="K63" s="412">
        <v>1</v>
      </c>
      <c r="L63" s="412">
        <v>1</v>
      </c>
      <c r="M63" s="412">
        <v>1</v>
      </c>
      <c r="N63" s="412" t="str">
        <f>IF(MATERIALS!L68="","",MATERIALS!L68)</f>
        <v/>
      </c>
      <c r="O63" s="412" t="str">
        <f>IF(MATERIALS!M68="","",MATERIALS!M68)</f>
        <v/>
      </c>
      <c r="P63" s="412" t="str">
        <f>IF(MATERIALS!N68="","",MATERIALS!N68)</f>
        <v/>
      </c>
      <c r="Q63" s="412"/>
      <c r="R63" s="412"/>
      <c r="S63" s="412"/>
      <c r="T63" s="412"/>
      <c r="U63" s="412"/>
      <c r="V63" s="412"/>
      <c r="W63" s="412"/>
      <c r="X63" s="412"/>
      <c r="Y63" s="412"/>
      <c r="Z63" s="412"/>
      <c r="AA63" s="412"/>
      <c r="AB63" s="412"/>
      <c r="AC63" s="412"/>
      <c r="AD63" s="412"/>
    </row>
    <row r="64" spans="1:30">
      <c r="A64" s="412"/>
      <c r="B64" s="412"/>
      <c r="C64" s="412">
        <f>MATERIALS!C69</f>
        <v>62</v>
      </c>
      <c r="D64" s="412" t="str">
        <f>IF(MATERIALS!D69="","",MATERIALS!D69)</f>
        <v/>
      </c>
      <c r="E64" s="412" t="str">
        <f t="shared" si="3"/>
        <v>Material 62</v>
      </c>
      <c r="F64" s="418">
        <f t="shared" si="4"/>
        <v>1E-3</v>
      </c>
      <c r="G64" s="412">
        <v>0.03</v>
      </c>
      <c r="H64" s="412">
        <f>MATERIALS!I69</f>
        <v>0</v>
      </c>
      <c r="I64" s="412" t="s">
        <v>633</v>
      </c>
      <c r="J64" s="412">
        <v>1</v>
      </c>
      <c r="K64" s="412">
        <v>1</v>
      </c>
      <c r="L64" s="412">
        <v>1</v>
      </c>
      <c r="M64" s="412">
        <v>1</v>
      </c>
      <c r="N64" s="412" t="str">
        <f>IF(MATERIALS!L69="","",MATERIALS!L69)</f>
        <v/>
      </c>
      <c r="O64" s="412" t="str">
        <f>IF(MATERIALS!M69="","",MATERIALS!M69)</f>
        <v/>
      </c>
      <c r="P64" s="412" t="str">
        <f>IF(MATERIALS!N69="","",MATERIALS!N69)</f>
        <v/>
      </c>
      <c r="Q64" s="412"/>
      <c r="R64" s="412"/>
      <c r="S64" s="412"/>
      <c r="T64" s="412"/>
      <c r="U64" s="412"/>
      <c r="V64" s="412"/>
      <c r="W64" s="412"/>
      <c r="X64" s="412"/>
      <c r="Y64" s="412"/>
      <c r="Z64" s="412"/>
      <c r="AA64" s="412"/>
      <c r="AB64" s="412"/>
      <c r="AC64" s="412"/>
      <c r="AD64" s="412"/>
    </row>
    <row r="65" spans="1:30">
      <c r="A65" s="412"/>
      <c r="B65" s="412"/>
      <c r="C65" s="412">
        <f>MATERIALS!C70</f>
        <v>63</v>
      </c>
      <c r="D65" s="412" t="str">
        <f>IF(MATERIALS!D70="","",MATERIALS!D70)</f>
        <v/>
      </c>
      <c r="E65" s="412" t="str">
        <f t="shared" si="3"/>
        <v>Material 63</v>
      </c>
      <c r="F65" s="418">
        <f t="shared" si="4"/>
        <v>1E-3</v>
      </c>
      <c r="G65" s="412">
        <v>0.03</v>
      </c>
      <c r="H65" s="412">
        <f>MATERIALS!I70</f>
        <v>0</v>
      </c>
      <c r="I65" s="412" t="s">
        <v>633</v>
      </c>
      <c r="J65" s="412">
        <v>1</v>
      </c>
      <c r="K65" s="412">
        <v>1</v>
      </c>
      <c r="L65" s="412">
        <v>1</v>
      </c>
      <c r="M65" s="412">
        <v>1</v>
      </c>
      <c r="N65" s="412" t="str">
        <f>IF(MATERIALS!L70="","",MATERIALS!L70)</f>
        <v/>
      </c>
      <c r="O65" s="412" t="str">
        <f>IF(MATERIALS!M70="","",MATERIALS!M70)</f>
        <v/>
      </c>
      <c r="P65" s="412" t="str">
        <f>IF(MATERIALS!N70="","",MATERIALS!N70)</f>
        <v/>
      </c>
      <c r="Q65" s="412"/>
      <c r="R65" s="412"/>
      <c r="S65" s="412"/>
      <c r="T65" s="412"/>
      <c r="U65" s="412"/>
      <c r="V65" s="412"/>
      <c r="W65" s="412"/>
      <c r="X65" s="412"/>
      <c r="Y65" s="412"/>
      <c r="Z65" s="412"/>
      <c r="AA65" s="412"/>
      <c r="AB65" s="412"/>
      <c r="AC65" s="412"/>
      <c r="AD65" s="412"/>
    </row>
    <row r="66" spans="1:30">
      <c r="A66" s="412"/>
      <c r="B66" s="412"/>
      <c r="C66" s="412">
        <f>MATERIALS!C71</f>
        <v>64</v>
      </c>
      <c r="D66" s="412" t="str">
        <f>IF(MATERIALS!D71="","",MATERIALS!D71)</f>
        <v/>
      </c>
      <c r="E66" s="412" t="str">
        <f t="shared" ref="E66:E102" si="5">"Material "&amp;C66</f>
        <v>Material 64</v>
      </c>
      <c r="F66" s="418">
        <f t="shared" si="4"/>
        <v>1E-3</v>
      </c>
      <c r="G66" s="412">
        <v>0.03</v>
      </c>
      <c r="H66" s="412">
        <f>MATERIALS!I71</f>
        <v>0</v>
      </c>
      <c r="I66" s="412" t="s">
        <v>633</v>
      </c>
      <c r="J66" s="412">
        <v>1</v>
      </c>
      <c r="K66" s="412">
        <v>1</v>
      </c>
      <c r="L66" s="412">
        <v>1</v>
      </c>
      <c r="M66" s="412">
        <v>1</v>
      </c>
      <c r="N66" s="412" t="str">
        <f>IF(MATERIALS!L71="","",MATERIALS!L71)</f>
        <v/>
      </c>
      <c r="O66" s="412" t="str">
        <f>IF(MATERIALS!M71="","",MATERIALS!M71)</f>
        <v/>
      </c>
      <c r="P66" s="412" t="str">
        <f>IF(MATERIALS!N71="","",MATERIALS!N71)</f>
        <v/>
      </c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412"/>
      <c r="AB66" s="412"/>
      <c r="AC66" s="412"/>
      <c r="AD66" s="412"/>
    </row>
    <row r="67" spans="1:30">
      <c r="A67" s="412"/>
      <c r="B67" s="412"/>
      <c r="C67" s="412">
        <f>MATERIALS!C72</f>
        <v>65</v>
      </c>
      <c r="D67" s="412" t="str">
        <f>IF(MATERIALS!D72="","",MATERIALS!D72)</f>
        <v/>
      </c>
      <c r="E67" s="412" t="str">
        <f t="shared" si="5"/>
        <v>Material 65</v>
      </c>
      <c r="F67" s="418">
        <f t="shared" ref="F67:F102" si="6">1/K67*J67/1000</f>
        <v>1E-3</v>
      </c>
      <c r="G67" s="412">
        <v>0.03</v>
      </c>
      <c r="H67" s="412">
        <f>MATERIALS!I72</f>
        <v>0</v>
      </c>
      <c r="I67" s="412" t="s">
        <v>633</v>
      </c>
      <c r="J67" s="412">
        <v>1</v>
      </c>
      <c r="K67" s="412">
        <v>1</v>
      </c>
      <c r="L67" s="412">
        <v>1</v>
      </c>
      <c r="M67" s="412">
        <v>1</v>
      </c>
      <c r="N67" s="412" t="str">
        <f>IF(MATERIALS!L72="","",MATERIALS!L72)</f>
        <v/>
      </c>
      <c r="O67" s="412" t="str">
        <f>IF(MATERIALS!M72="","",MATERIALS!M72)</f>
        <v/>
      </c>
      <c r="P67" s="412" t="str">
        <f>IF(MATERIALS!N72="","",MATERIALS!N72)</f>
        <v/>
      </c>
      <c r="Q67" s="412"/>
      <c r="R67" s="412"/>
      <c r="S67" s="412"/>
      <c r="T67" s="412"/>
      <c r="U67" s="412"/>
      <c r="V67" s="412"/>
      <c r="W67" s="412"/>
      <c r="X67" s="412"/>
      <c r="Y67" s="412"/>
      <c r="Z67" s="412"/>
      <c r="AA67" s="412"/>
      <c r="AB67" s="412"/>
      <c r="AC67" s="412"/>
      <c r="AD67" s="412"/>
    </row>
    <row r="68" spans="1:30">
      <c r="A68" s="412"/>
      <c r="B68" s="412"/>
      <c r="C68" s="412">
        <f>MATERIALS!C73</f>
        <v>66</v>
      </c>
      <c r="D68" s="412" t="str">
        <f>IF(MATERIALS!D73="","",MATERIALS!D73)</f>
        <v/>
      </c>
      <c r="E68" s="412" t="str">
        <f t="shared" si="5"/>
        <v>Material 66</v>
      </c>
      <c r="F68" s="418">
        <f t="shared" si="6"/>
        <v>1E-3</v>
      </c>
      <c r="G68" s="412">
        <v>0.03</v>
      </c>
      <c r="H68" s="412">
        <f>MATERIALS!I73</f>
        <v>0</v>
      </c>
      <c r="I68" s="412" t="s">
        <v>633</v>
      </c>
      <c r="J68" s="412">
        <v>1</v>
      </c>
      <c r="K68" s="412">
        <v>1</v>
      </c>
      <c r="L68" s="412">
        <v>1</v>
      </c>
      <c r="M68" s="412">
        <v>1</v>
      </c>
      <c r="N68" s="412" t="str">
        <f>IF(MATERIALS!L73="","",MATERIALS!L73)</f>
        <v/>
      </c>
      <c r="O68" s="412" t="str">
        <f>IF(MATERIALS!M73="","",MATERIALS!M73)</f>
        <v/>
      </c>
      <c r="P68" s="412" t="str">
        <f>IF(MATERIALS!N73="","",MATERIALS!N73)</f>
        <v/>
      </c>
      <c r="Q68" s="412"/>
      <c r="R68" s="412"/>
      <c r="S68" s="412"/>
      <c r="T68" s="412"/>
      <c r="U68" s="412"/>
      <c r="V68" s="412"/>
      <c r="W68" s="412"/>
      <c r="X68" s="412"/>
      <c r="Y68" s="412"/>
      <c r="Z68" s="412"/>
      <c r="AA68" s="412"/>
      <c r="AB68" s="412"/>
      <c r="AC68" s="412"/>
      <c r="AD68" s="412"/>
    </row>
    <row r="69" spans="1:30">
      <c r="A69" s="412"/>
      <c r="B69" s="412"/>
      <c r="C69" s="412">
        <f>MATERIALS!C74</f>
        <v>67</v>
      </c>
      <c r="D69" s="412" t="str">
        <f>IF(MATERIALS!D74="","",MATERIALS!D74)</f>
        <v/>
      </c>
      <c r="E69" s="412" t="str">
        <f t="shared" si="5"/>
        <v>Material 67</v>
      </c>
      <c r="F69" s="418">
        <f t="shared" si="6"/>
        <v>1E-3</v>
      </c>
      <c r="G69" s="412">
        <v>0.03</v>
      </c>
      <c r="H69" s="412">
        <f>MATERIALS!I74</f>
        <v>0</v>
      </c>
      <c r="I69" s="412" t="s">
        <v>633</v>
      </c>
      <c r="J69" s="412">
        <v>1</v>
      </c>
      <c r="K69" s="412">
        <v>1</v>
      </c>
      <c r="L69" s="412">
        <v>1</v>
      </c>
      <c r="M69" s="412">
        <v>1</v>
      </c>
      <c r="N69" s="412" t="str">
        <f>IF(MATERIALS!L74="","",MATERIALS!L74)</f>
        <v/>
      </c>
      <c r="O69" s="412" t="str">
        <f>IF(MATERIALS!M74="","",MATERIALS!M74)</f>
        <v/>
      </c>
      <c r="P69" s="412" t="str">
        <f>IF(MATERIALS!N74="","",MATERIALS!N74)</f>
        <v/>
      </c>
      <c r="Q69" s="412"/>
      <c r="R69" s="412"/>
      <c r="S69" s="412"/>
      <c r="T69" s="412"/>
      <c r="U69" s="412"/>
      <c r="V69" s="412"/>
      <c r="W69" s="412"/>
      <c r="X69" s="412"/>
      <c r="Y69" s="412"/>
      <c r="Z69" s="412"/>
      <c r="AA69" s="412"/>
      <c r="AB69" s="412"/>
      <c r="AC69" s="412"/>
      <c r="AD69" s="412"/>
    </row>
    <row r="70" spans="1:30">
      <c r="A70" s="412"/>
      <c r="B70" s="412"/>
      <c r="C70" s="412">
        <f>MATERIALS!C75</f>
        <v>68</v>
      </c>
      <c r="D70" s="412" t="str">
        <f>IF(MATERIALS!D75="","",MATERIALS!D75)</f>
        <v/>
      </c>
      <c r="E70" s="412" t="str">
        <f t="shared" si="5"/>
        <v>Material 68</v>
      </c>
      <c r="F70" s="418">
        <f t="shared" si="6"/>
        <v>1E-3</v>
      </c>
      <c r="G70" s="412">
        <v>0.03</v>
      </c>
      <c r="H70" s="412">
        <f>MATERIALS!I75</f>
        <v>0</v>
      </c>
      <c r="I70" s="412" t="s">
        <v>633</v>
      </c>
      <c r="J70" s="412">
        <v>1</v>
      </c>
      <c r="K70" s="412">
        <v>1</v>
      </c>
      <c r="L70" s="412">
        <v>1</v>
      </c>
      <c r="M70" s="412">
        <v>1</v>
      </c>
      <c r="N70" s="412" t="str">
        <f>IF(MATERIALS!L75="","",MATERIALS!L75)</f>
        <v/>
      </c>
      <c r="O70" s="412" t="str">
        <f>IF(MATERIALS!M75="","",MATERIALS!M75)</f>
        <v/>
      </c>
      <c r="P70" s="412" t="str">
        <f>IF(MATERIALS!N75="","",MATERIALS!N75)</f>
        <v/>
      </c>
      <c r="Q70" s="412"/>
      <c r="R70" s="412"/>
      <c r="S70" s="412"/>
      <c r="T70" s="412"/>
      <c r="U70" s="412"/>
      <c r="V70" s="412"/>
      <c r="W70" s="412"/>
      <c r="X70" s="412"/>
      <c r="Y70" s="412"/>
      <c r="Z70" s="412"/>
      <c r="AA70" s="412"/>
      <c r="AB70" s="412"/>
      <c r="AC70" s="412"/>
      <c r="AD70" s="412"/>
    </row>
    <row r="71" spans="1:30">
      <c r="A71" s="412"/>
      <c r="B71" s="412"/>
      <c r="C71" s="412">
        <f>MATERIALS!C76</f>
        <v>69</v>
      </c>
      <c r="D71" s="412" t="str">
        <f>IF(MATERIALS!D76="","",MATERIALS!D76)</f>
        <v/>
      </c>
      <c r="E71" s="412" t="str">
        <f t="shared" si="5"/>
        <v>Material 69</v>
      </c>
      <c r="F71" s="418">
        <f t="shared" si="6"/>
        <v>1E-3</v>
      </c>
      <c r="G71" s="412">
        <v>0.03</v>
      </c>
      <c r="H71" s="412">
        <f>MATERIALS!I76</f>
        <v>0</v>
      </c>
      <c r="I71" s="412" t="s">
        <v>633</v>
      </c>
      <c r="J71" s="412">
        <v>1</v>
      </c>
      <c r="K71" s="412">
        <v>1</v>
      </c>
      <c r="L71" s="412">
        <v>1</v>
      </c>
      <c r="M71" s="412">
        <v>1</v>
      </c>
      <c r="N71" s="412" t="str">
        <f>IF(MATERIALS!L76="","",MATERIALS!L76)</f>
        <v/>
      </c>
      <c r="O71" s="412" t="str">
        <f>IF(MATERIALS!M76="","",MATERIALS!M76)</f>
        <v/>
      </c>
      <c r="P71" s="412" t="str">
        <f>IF(MATERIALS!N76="","",MATERIALS!N76)</f>
        <v/>
      </c>
      <c r="Q71" s="412"/>
      <c r="R71" s="412"/>
      <c r="S71" s="412"/>
      <c r="T71" s="412"/>
      <c r="U71" s="412"/>
      <c r="V71" s="412"/>
      <c r="W71" s="412"/>
      <c r="X71" s="412"/>
      <c r="Y71" s="412"/>
      <c r="Z71" s="412"/>
      <c r="AA71" s="412"/>
      <c r="AB71" s="412"/>
      <c r="AC71" s="412"/>
      <c r="AD71" s="412"/>
    </row>
    <row r="72" spans="1:30">
      <c r="A72" s="412"/>
      <c r="B72" s="412"/>
      <c r="C72" s="412">
        <f>MATERIALS!C77</f>
        <v>70</v>
      </c>
      <c r="D72" s="412" t="str">
        <f>IF(MATERIALS!D77="","",MATERIALS!D77)</f>
        <v/>
      </c>
      <c r="E72" s="412" t="str">
        <f t="shared" si="5"/>
        <v>Material 70</v>
      </c>
      <c r="F72" s="418">
        <f t="shared" si="6"/>
        <v>1E-3</v>
      </c>
      <c r="G72" s="412">
        <v>0.03</v>
      </c>
      <c r="H72" s="412">
        <f>MATERIALS!I77</f>
        <v>0</v>
      </c>
      <c r="I72" s="412" t="s">
        <v>633</v>
      </c>
      <c r="J72" s="412">
        <v>1</v>
      </c>
      <c r="K72" s="412">
        <v>1</v>
      </c>
      <c r="L72" s="412">
        <v>1</v>
      </c>
      <c r="M72" s="412">
        <v>1</v>
      </c>
      <c r="N72" s="412" t="str">
        <f>IF(MATERIALS!L77="","",MATERIALS!L77)</f>
        <v/>
      </c>
      <c r="O72" s="412" t="str">
        <f>IF(MATERIALS!M77="","",MATERIALS!M77)</f>
        <v/>
      </c>
      <c r="P72" s="412" t="str">
        <f>IF(MATERIALS!N77="","",MATERIALS!N77)</f>
        <v/>
      </c>
      <c r="Q72" s="412"/>
      <c r="R72" s="412"/>
      <c r="S72" s="412"/>
      <c r="T72" s="412"/>
      <c r="U72" s="412"/>
      <c r="V72" s="412"/>
      <c r="W72" s="412"/>
      <c r="X72" s="412"/>
      <c r="Y72" s="412"/>
      <c r="Z72" s="412"/>
      <c r="AA72" s="412"/>
      <c r="AB72" s="412"/>
      <c r="AC72" s="412"/>
      <c r="AD72" s="412"/>
    </row>
    <row r="73" spans="1:30">
      <c r="A73" s="412"/>
      <c r="B73" s="412"/>
      <c r="C73" s="412">
        <f>MATERIALS!C78</f>
        <v>71</v>
      </c>
      <c r="D73" s="412" t="str">
        <f>IF(MATERIALS!D78="","",MATERIALS!D78)</f>
        <v/>
      </c>
      <c r="E73" s="412" t="str">
        <f t="shared" si="5"/>
        <v>Material 71</v>
      </c>
      <c r="F73" s="418">
        <f t="shared" si="6"/>
        <v>1E-3</v>
      </c>
      <c r="G73" s="412">
        <v>0.03</v>
      </c>
      <c r="H73" s="412">
        <f>MATERIALS!I78</f>
        <v>0</v>
      </c>
      <c r="I73" s="412" t="s">
        <v>633</v>
      </c>
      <c r="J73" s="412">
        <v>1</v>
      </c>
      <c r="K73" s="412">
        <v>1</v>
      </c>
      <c r="L73" s="412">
        <v>1</v>
      </c>
      <c r="M73" s="412">
        <v>1</v>
      </c>
      <c r="N73" s="412" t="str">
        <f>IF(MATERIALS!L78="","",MATERIALS!L78)</f>
        <v/>
      </c>
      <c r="O73" s="412" t="str">
        <f>IF(MATERIALS!M78="","",MATERIALS!M78)</f>
        <v/>
      </c>
      <c r="P73" s="412" t="str">
        <f>IF(MATERIALS!N78="","",MATERIALS!N78)</f>
        <v/>
      </c>
      <c r="Q73" s="412"/>
      <c r="R73" s="412"/>
      <c r="S73" s="412"/>
      <c r="T73" s="412"/>
      <c r="U73" s="412"/>
      <c r="V73" s="412"/>
      <c r="W73" s="412"/>
      <c r="X73" s="412"/>
      <c r="Y73" s="412"/>
      <c r="Z73" s="412"/>
      <c r="AA73" s="412"/>
      <c r="AB73" s="412"/>
      <c r="AC73" s="412"/>
      <c r="AD73" s="412"/>
    </row>
    <row r="74" spans="1:30">
      <c r="A74" s="412"/>
      <c r="B74" s="412"/>
      <c r="C74" s="412">
        <f>MATERIALS!C79</f>
        <v>72</v>
      </c>
      <c r="D74" s="412" t="str">
        <f>IF(MATERIALS!D79="","",MATERIALS!D79)</f>
        <v/>
      </c>
      <c r="E74" s="412" t="str">
        <f t="shared" si="5"/>
        <v>Material 72</v>
      </c>
      <c r="F74" s="418">
        <f t="shared" si="6"/>
        <v>1E-3</v>
      </c>
      <c r="G74" s="412">
        <v>0.03</v>
      </c>
      <c r="H74" s="412">
        <f>MATERIALS!I79</f>
        <v>0</v>
      </c>
      <c r="I74" s="412" t="s">
        <v>633</v>
      </c>
      <c r="J74" s="412">
        <v>1</v>
      </c>
      <c r="K74" s="412">
        <v>1</v>
      </c>
      <c r="L74" s="412">
        <v>1</v>
      </c>
      <c r="M74" s="412">
        <v>1</v>
      </c>
      <c r="N74" s="412" t="str">
        <f>IF(MATERIALS!L79="","",MATERIALS!L79)</f>
        <v/>
      </c>
      <c r="O74" s="412" t="str">
        <f>IF(MATERIALS!M79="","",MATERIALS!M79)</f>
        <v/>
      </c>
      <c r="P74" s="412" t="str">
        <f>IF(MATERIALS!N79="","",MATERIALS!N79)</f>
        <v/>
      </c>
      <c r="Q74" s="412"/>
      <c r="R74" s="412"/>
      <c r="S74" s="412"/>
      <c r="T74" s="412"/>
      <c r="U74" s="412"/>
      <c r="V74" s="412"/>
      <c r="W74" s="412"/>
      <c r="X74" s="412"/>
      <c r="Y74" s="412"/>
      <c r="Z74" s="412"/>
      <c r="AA74" s="412"/>
      <c r="AB74" s="412"/>
      <c r="AC74" s="412"/>
      <c r="AD74" s="412"/>
    </row>
    <row r="75" spans="1:30">
      <c r="A75" s="412"/>
      <c r="B75" s="412"/>
      <c r="C75" s="412">
        <f>MATERIALS!C80</f>
        <v>73</v>
      </c>
      <c r="D75" s="412" t="str">
        <f>IF(MATERIALS!D80="","",MATERIALS!D80)</f>
        <v/>
      </c>
      <c r="E75" s="412" t="str">
        <f t="shared" si="5"/>
        <v>Material 73</v>
      </c>
      <c r="F75" s="418">
        <f t="shared" si="6"/>
        <v>1E-3</v>
      </c>
      <c r="G75" s="412">
        <v>0.03</v>
      </c>
      <c r="H75" s="412">
        <f>MATERIALS!I80</f>
        <v>0</v>
      </c>
      <c r="I75" s="412" t="s">
        <v>633</v>
      </c>
      <c r="J75" s="412">
        <v>1</v>
      </c>
      <c r="K75" s="412">
        <v>1</v>
      </c>
      <c r="L75" s="412">
        <v>1</v>
      </c>
      <c r="M75" s="412">
        <v>1</v>
      </c>
      <c r="N75" s="412" t="str">
        <f>IF(MATERIALS!L80="","",MATERIALS!L80)</f>
        <v/>
      </c>
      <c r="O75" s="412" t="str">
        <f>IF(MATERIALS!M80="","",MATERIALS!M80)</f>
        <v/>
      </c>
      <c r="P75" s="412" t="str">
        <f>IF(MATERIALS!N80="","",MATERIALS!N80)</f>
        <v/>
      </c>
      <c r="Q75" s="412"/>
      <c r="R75" s="412"/>
      <c r="S75" s="412"/>
      <c r="T75" s="412"/>
      <c r="U75" s="412"/>
      <c r="V75" s="412"/>
      <c r="W75" s="412"/>
      <c r="X75" s="412"/>
      <c r="Y75" s="412"/>
      <c r="Z75" s="412"/>
      <c r="AA75" s="412"/>
      <c r="AB75" s="412"/>
      <c r="AC75" s="412"/>
      <c r="AD75" s="412"/>
    </row>
    <row r="76" spans="1:30">
      <c r="A76" s="412"/>
      <c r="B76" s="412"/>
      <c r="C76" s="412">
        <f>MATERIALS!C81</f>
        <v>74</v>
      </c>
      <c r="D76" s="412" t="str">
        <f>IF(MATERIALS!D81="","",MATERIALS!D81)</f>
        <v/>
      </c>
      <c r="E76" s="412" t="str">
        <f t="shared" si="5"/>
        <v>Material 74</v>
      </c>
      <c r="F76" s="418">
        <f t="shared" si="6"/>
        <v>1E-3</v>
      </c>
      <c r="G76" s="412">
        <v>0.03</v>
      </c>
      <c r="H76" s="412">
        <f>MATERIALS!I81</f>
        <v>0</v>
      </c>
      <c r="I76" s="412" t="s">
        <v>633</v>
      </c>
      <c r="J76" s="412">
        <v>1</v>
      </c>
      <c r="K76" s="412">
        <v>1</v>
      </c>
      <c r="L76" s="412">
        <v>1</v>
      </c>
      <c r="M76" s="412">
        <v>1</v>
      </c>
      <c r="N76" s="412" t="str">
        <f>IF(MATERIALS!L81="","",MATERIALS!L81)</f>
        <v/>
      </c>
      <c r="O76" s="412" t="str">
        <f>IF(MATERIALS!M81="","",MATERIALS!M81)</f>
        <v/>
      </c>
      <c r="P76" s="412" t="str">
        <f>IF(MATERIALS!N81="","",MATERIALS!N81)</f>
        <v/>
      </c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412"/>
      <c r="AB76" s="412"/>
      <c r="AC76" s="412"/>
      <c r="AD76" s="412"/>
    </row>
    <row r="77" spans="1:30">
      <c r="A77" s="412"/>
      <c r="B77" s="412"/>
      <c r="C77" s="412">
        <f>MATERIALS!C82</f>
        <v>75</v>
      </c>
      <c r="D77" s="412" t="str">
        <f>IF(MATERIALS!D82="","",MATERIALS!D82)</f>
        <v/>
      </c>
      <c r="E77" s="412" t="str">
        <f t="shared" si="5"/>
        <v>Material 75</v>
      </c>
      <c r="F77" s="418">
        <f t="shared" si="6"/>
        <v>1E-3</v>
      </c>
      <c r="G77" s="412">
        <v>0.03</v>
      </c>
      <c r="H77" s="412">
        <f>MATERIALS!I82</f>
        <v>0</v>
      </c>
      <c r="I77" s="412" t="s">
        <v>633</v>
      </c>
      <c r="J77" s="412">
        <v>1</v>
      </c>
      <c r="K77" s="412">
        <v>1</v>
      </c>
      <c r="L77" s="412">
        <v>1</v>
      </c>
      <c r="M77" s="412">
        <v>1</v>
      </c>
      <c r="N77" s="412" t="str">
        <f>IF(MATERIALS!L82="","",MATERIALS!L82)</f>
        <v/>
      </c>
      <c r="O77" s="412" t="str">
        <f>IF(MATERIALS!M82="","",MATERIALS!M82)</f>
        <v/>
      </c>
      <c r="P77" s="412" t="str">
        <f>IF(MATERIALS!N82="","",MATERIALS!N82)</f>
        <v/>
      </c>
      <c r="Q77" s="412"/>
      <c r="R77" s="412"/>
      <c r="S77" s="412"/>
      <c r="T77" s="412"/>
      <c r="U77" s="412"/>
      <c r="V77" s="412"/>
      <c r="W77" s="412"/>
      <c r="X77" s="412"/>
      <c r="Y77" s="412"/>
      <c r="Z77" s="412"/>
      <c r="AA77" s="412"/>
      <c r="AB77" s="412"/>
      <c r="AC77" s="412"/>
      <c r="AD77" s="412"/>
    </row>
    <row r="78" spans="1:30">
      <c r="A78" s="412"/>
      <c r="B78" s="412"/>
      <c r="C78" s="412">
        <f>MATERIALS!C83</f>
        <v>76</v>
      </c>
      <c r="D78" s="412" t="str">
        <f>IF(MATERIALS!D83="","",MATERIALS!D83)</f>
        <v/>
      </c>
      <c r="E78" s="412" t="str">
        <f t="shared" si="5"/>
        <v>Material 76</v>
      </c>
      <c r="F78" s="418">
        <f t="shared" si="6"/>
        <v>1E-3</v>
      </c>
      <c r="G78" s="412">
        <v>0.03</v>
      </c>
      <c r="H78" s="412">
        <f>MATERIALS!I83</f>
        <v>0</v>
      </c>
      <c r="I78" s="412" t="s">
        <v>633</v>
      </c>
      <c r="J78" s="412">
        <v>1</v>
      </c>
      <c r="K78" s="412">
        <v>1</v>
      </c>
      <c r="L78" s="412">
        <v>1</v>
      </c>
      <c r="M78" s="412">
        <v>1</v>
      </c>
      <c r="N78" s="412" t="str">
        <f>IF(MATERIALS!L83="","",MATERIALS!L83)</f>
        <v/>
      </c>
      <c r="O78" s="412" t="str">
        <f>IF(MATERIALS!M83="","",MATERIALS!M83)</f>
        <v/>
      </c>
      <c r="P78" s="412" t="str">
        <f>IF(MATERIALS!N83="","",MATERIALS!N83)</f>
        <v/>
      </c>
      <c r="Q78" s="412"/>
      <c r="R78" s="412"/>
      <c r="S78" s="412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</row>
    <row r="79" spans="1:30">
      <c r="A79" s="412"/>
      <c r="B79" s="412"/>
      <c r="C79" s="412">
        <f>MATERIALS!C84</f>
        <v>77</v>
      </c>
      <c r="D79" s="412" t="str">
        <f>IF(MATERIALS!D84="","",MATERIALS!D84)</f>
        <v/>
      </c>
      <c r="E79" s="412" t="str">
        <f t="shared" si="5"/>
        <v>Material 77</v>
      </c>
      <c r="F79" s="418">
        <f t="shared" si="6"/>
        <v>1E-3</v>
      </c>
      <c r="G79" s="412">
        <v>0.03</v>
      </c>
      <c r="H79" s="412">
        <f>MATERIALS!I84</f>
        <v>0</v>
      </c>
      <c r="I79" s="412" t="s">
        <v>633</v>
      </c>
      <c r="J79" s="412">
        <v>1</v>
      </c>
      <c r="K79" s="412">
        <v>1</v>
      </c>
      <c r="L79" s="412">
        <v>1</v>
      </c>
      <c r="M79" s="412">
        <v>1</v>
      </c>
      <c r="N79" s="412" t="str">
        <f>IF(MATERIALS!L84="","",MATERIALS!L84)</f>
        <v/>
      </c>
      <c r="O79" s="412" t="str">
        <f>IF(MATERIALS!M84="","",MATERIALS!M84)</f>
        <v/>
      </c>
      <c r="P79" s="412" t="str">
        <f>IF(MATERIALS!N84="","",MATERIALS!N84)</f>
        <v/>
      </c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412"/>
      <c r="AB79" s="412"/>
      <c r="AC79" s="412"/>
      <c r="AD79" s="412"/>
    </row>
    <row r="80" spans="1:30">
      <c r="A80" s="412"/>
      <c r="B80" s="412"/>
      <c r="C80" s="412">
        <f>MATERIALS!C85</f>
        <v>78</v>
      </c>
      <c r="D80" s="412" t="str">
        <f>IF(MATERIALS!D85="","",MATERIALS!D85)</f>
        <v/>
      </c>
      <c r="E80" s="412" t="str">
        <f t="shared" si="5"/>
        <v>Material 78</v>
      </c>
      <c r="F80" s="418">
        <f t="shared" si="6"/>
        <v>1E-3</v>
      </c>
      <c r="G80" s="412">
        <v>0.03</v>
      </c>
      <c r="H80" s="412">
        <f>MATERIALS!I85</f>
        <v>0</v>
      </c>
      <c r="I80" s="412" t="s">
        <v>633</v>
      </c>
      <c r="J80" s="412">
        <v>1</v>
      </c>
      <c r="K80" s="412">
        <v>1</v>
      </c>
      <c r="L80" s="412">
        <v>1</v>
      </c>
      <c r="M80" s="412">
        <v>1</v>
      </c>
      <c r="N80" s="412" t="str">
        <f>IF(MATERIALS!L85="","",MATERIALS!L85)</f>
        <v/>
      </c>
      <c r="O80" s="412" t="str">
        <f>IF(MATERIALS!M85="","",MATERIALS!M85)</f>
        <v/>
      </c>
      <c r="P80" s="412" t="str">
        <f>IF(MATERIALS!N85="","",MATERIALS!N85)</f>
        <v/>
      </c>
      <c r="Q80" s="412"/>
      <c r="R80" s="412"/>
      <c r="S80" s="412"/>
      <c r="T80" s="412"/>
      <c r="U80" s="412"/>
      <c r="V80" s="412"/>
      <c r="W80" s="412"/>
      <c r="X80" s="412"/>
      <c r="Y80" s="412"/>
      <c r="Z80" s="412"/>
      <c r="AA80" s="412"/>
      <c r="AB80" s="412"/>
      <c r="AC80" s="412"/>
      <c r="AD80" s="412"/>
    </row>
    <row r="81" spans="1:30">
      <c r="A81" s="412"/>
      <c r="B81" s="412"/>
      <c r="C81" s="412">
        <f>MATERIALS!C86</f>
        <v>79</v>
      </c>
      <c r="D81" s="412" t="str">
        <f>IF(MATERIALS!D86="","",MATERIALS!D86)</f>
        <v/>
      </c>
      <c r="E81" s="412" t="str">
        <f t="shared" si="5"/>
        <v>Material 79</v>
      </c>
      <c r="F81" s="418">
        <f t="shared" si="6"/>
        <v>1E-3</v>
      </c>
      <c r="G81" s="412">
        <v>0.03</v>
      </c>
      <c r="H81" s="412">
        <f>MATERIALS!I86</f>
        <v>0</v>
      </c>
      <c r="I81" s="412" t="s">
        <v>633</v>
      </c>
      <c r="J81" s="412">
        <v>1</v>
      </c>
      <c r="K81" s="412">
        <v>1</v>
      </c>
      <c r="L81" s="412">
        <v>1</v>
      </c>
      <c r="M81" s="412">
        <v>1</v>
      </c>
      <c r="N81" s="412" t="str">
        <f>IF(MATERIALS!L86="","",MATERIALS!L86)</f>
        <v/>
      </c>
      <c r="O81" s="412" t="str">
        <f>IF(MATERIALS!M86="","",MATERIALS!M86)</f>
        <v/>
      </c>
      <c r="P81" s="412" t="str">
        <f>IF(MATERIALS!N86="","",MATERIALS!N86)</f>
        <v/>
      </c>
      <c r="Q81" s="412"/>
      <c r="R81" s="412"/>
      <c r="S81" s="412"/>
      <c r="T81" s="412"/>
      <c r="U81" s="412"/>
      <c r="V81" s="412"/>
      <c r="W81" s="412"/>
      <c r="X81" s="412"/>
      <c r="Y81" s="412"/>
      <c r="Z81" s="412"/>
      <c r="AA81" s="412"/>
      <c r="AB81" s="412"/>
      <c r="AC81" s="412"/>
      <c r="AD81" s="412"/>
    </row>
    <row r="82" spans="1:30">
      <c r="A82" s="412"/>
      <c r="B82" s="412"/>
      <c r="C82" s="412">
        <f>MATERIALS!C87</f>
        <v>80</v>
      </c>
      <c r="D82" s="412" t="str">
        <f>IF(MATERIALS!D87="","",MATERIALS!D87)</f>
        <v/>
      </c>
      <c r="E82" s="412" t="str">
        <f t="shared" si="5"/>
        <v>Material 80</v>
      </c>
      <c r="F82" s="418">
        <f t="shared" si="6"/>
        <v>1E-3</v>
      </c>
      <c r="G82" s="412">
        <v>0.03</v>
      </c>
      <c r="H82" s="412">
        <f>MATERIALS!I87</f>
        <v>0</v>
      </c>
      <c r="I82" s="412" t="s">
        <v>633</v>
      </c>
      <c r="J82" s="412">
        <v>1</v>
      </c>
      <c r="K82" s="412">
        <v>1</v>
      </c>
      <c r="L82" s="412">
        <v>1</v>
      </c>
      <c r="M82" s="412">
        <v>1</v>
      </c>
      <c r="N82" s="412" t="str">
        <f>IF(MATERIALS!L87="","",MATERIALS!L87)</f>
        <v/>
      </c>
      <c r="O82" s="412" t="str">
        <f>IF(MATERIALS!M87="","",MATERIALS!M87)</f>
        <v/>
      </c>
      <c r="P82" s="412" t="str">
        <f>IF(MATERIALS!N87="","",MATERIALS!N87)</f>
        <v/>
      </c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</row>
    <row r="83" spans="1:30">
      <c r="A83" s="412"/>
      <c r="B83" s="412"/>
      <c r="C83" s="412">
        <f>MATERIALS!C88</f>
        <v>81</v>
      </c>
      <c r="D83" s="412" t="str">
        <f>IF(MATERIALS!D88="","",MATERIALS!D88)</f>
        <v/>
      </c>
      <c r="E83" s="412" t="str">
        <f t="shared" si="5"/>
        <v>Material 81</v>
      </c>
      <c r="F83" s="418">
        <f t="shared" si="6"/>
        <v>1E-3</v>
      </c>
      <c r="G83" s="412">
        <v>0.03</v>
      </c>
      <c r="H83" s="412">
        <f>MATERIALS!I88</f>
        <v>0</v>
      </c>
      <c r="I83" s="412" t="s">
        <v>633</v>
      </c>
      <c r="J83" s="412">
        <v>1</v>
      </c>
      <c r="K83" s="412">
        <v>1</v>
      </c>
      <c r="L83" s="412">
        <v>1</v>
      </c>
      <c r="M83" s="412">
        <v>1</v>
      </c>
      <c r="N83" s="412" t="str">
        <f>IF(MATERIALS!L88="","",MATERIALS!L88)</f>
        <v/>
      </c>
      <c r="O83" s="412" t="str">
        <f>IF(MATERIALS!M88="","",MATERIALS!M88)</f>
        <v/>
      </c>
      <c r="P83" s="412" t="str">
        <f>IF(MATERIALS!N88="","",MATERIALS!N88)</f>
        <v/>
      </c>
      <c r="Q83" s="412"/>
      <c r="R83" s="412"/>
      <c r="S83" s="412"/>
      <c r="T83" s="412"/>
      <c r="U83" s="412"/>
      <c r="V83" s="412"/>
      <c r="W83" s="412"/>
      <c r="X83" s="412"/>
      <c r="Y83" s="412"/>
      <c r="Z83" s="412"/>
      <c r="AA83" s="412"/>
      <c r="AB83" s="412"/>
      <c r="AC83" s="412"/>
      <c r="AD83" s="412"/>
    </row>
    <row r="84" spans="1:30">
      <c r="A84" s="412"/>
      <c r="B84" s="412"/>
      <c r="C84" s="412">
        <f>MATERIALS!C89</f>
        <v>82</v>
      </c>
      <c r="D84" s="412" t="str">
        <f>IF(MATERIALS!D89="","",MATERIALS!D89)</f>
        <v/>
      </c>
      <c r="E84" s="412" t="str">
        <f t="shared" si="5"/>
        <v>Material 82</v>
      </c>
      <c r="F84" s="418">
        <f t="shared" si="6"/>
        <v>1E-3</v>
      </c>
      <c r="G84" s="412">
        <v>0.03</v>
      </c>
      <c r="H84" s="412">
        <f>MATERIALS!I89</f>
        <v>0</v>
      </c>
      <c r="I84" s="412" t="s">
        <v>633</v>
      </c>
      <c r="J84" s="412">
        <v>1</v>
      </c>
      <c r="K84" s="412">
        <v>1</v>
      </c>
      <c r="L84" s="412">
        <v>1</v>
      </c>
      <c r="M84" s="412">
        <v>1</v>
      </c>
      <c r="N84" s="412" t="str">
        <f>IF(MATERIALS!L89="","",MATERIALS!L89)</f>
        <v/>
      </c>
      <c r="O84" s="412" t="str">
        <f>IF(MATERIALS!M89="","",MATERIALS!M89)</f>
        <v/>
      </c>
      <c r="P84" s="412" t="str">
        <f>IF(MATERIALS!N89="","",MATERIALS!N89)</f>
        <v/>
      </c>
      <c r="Q84" s="412"/>
      <c r="R84" s="412"/>
      <c r="S84" s="412"/>
      <c r="T84" s="412"/>
      <c r="U84" s="412"/>
      <c r="V84" s="412"/>
      <c r="W84" s="412"/>
      <c r="X84" s="412"/>
      <c r="Y84" s="412"/>
      <c r="Z84" s="412"/>
      <c r="AA84" s="412"/>
      <c r="AB84" s="412"/>
      <c r="AC84" s="412"/>
      <c r="AD84" s="412"/>
    </row>
    <row r="85" spans="1:30">
      <c r="A85" s="412"/>
      <c r="B85" s="412"/>
      <c r="C85" s="412">
        <f>MATERIALS!C90</f>
        <v>83</v>
      </c>
      <c r="D85" s="412" t="str">
        <f>IF(MATERIALS!D90="","",MATERIALS!D90)</f>
        <v/>
      </c>
      <c r="E85" s="412" t="str">
        <f t="shared" si="5"/>
        <v>Material 83</v>
      </c>
      <c r="F85" s="418">
        <f t="shared" si="6"/>
        <v>1E-3</v>
      </c>
      <c r="G85" s="412">
        <v>0.03</v>
      </c>
      <c r="H85" s="412">
        <f>MATERIALS!I90</f>
        <v>0</v>
      </c>
      <c r="I85" s="412" t="s">
        <v>633</v>
      </c>
      <c r="J85" s="412">
        <v>1</v>
      </c>
      <c r="K85" s="412">
        <v>1</v>
      </c>
      <c r="L85" s="412">
        <v>1</v>
      </c>
      <c r="M85" s="412">
        <v>1</v>
      </c>
      <c r="N85" s="412" t="str">
        <f>IF(MATERIALS!L90="","",MATERIALS!L90)</f>
        <v/>
      </c>
      <c r="O85" s="412" t="str">
        <f>IF(MATERIALS!M90="","",MATERIALS!M90)</f>
        <v/>
      </c>
      <c r="P85" s="412" t="str">
        <f>IF(MATERIALS!N90="","",MATERIALS!N90)</f>
        <v/>
      </c>
      <c r="Q85" s="412"/>
      <c r="R85" s="412"/>
      <c r="S85" s="412"/>
      <c r="T85" s="412"/>
      <c r="U85" s="412"/>
      <c r="V85" s="412"/>
      <c r="W85" s="412"/>
      <c r="X85" s="412"/>
      <c r="Y85" s="412"/>
      <c r="Z85" s="412"/>
      <c r="AA85" s="412"/>
      <c r="AB85" s="412"/>
      <c r="AC85" s="412"/>
      <c r="AD85" s="412"/>
    </row>
    <row r="86" spans="1:30">
      <c r="A86" s="412"/>
      <c r="B86" s="412"/>
      <c r="C86" s="412">
        <f>MATERIALS!C91</f>
        <v>84</v>
      </c>
      <c r="D86" s="412" t="str">
        <f>IF(MATERIALS!D91="","",MATERIALS!D91)</f>
        <v/>
      </c>
      <c r="E86" s="412" t="str">
        <f t="shared" si="5"/>
        <v>Material 84</v>
      </c>
      <c r="F86" s="418">
        <f t="shared" si="6"/>
        <v>1E-3</v>
      </c>
      <c r="G86" s="412">
        <v>0.03</v>
      </c>
      <c r="H86" s="412">
        <f>MATERIALS!I91</f>
        <v>0</v>
      </c>
      <c r="I86" s="412" t="s">
        <v>633</v>
      </c>
      <c r="J86" s="412">
        <v>1</v>
      </c>
      <c r="K86" s="412">
        <v>1</v>
      </c>
      <c r="L86" s="412">
        <v>1</v>
      </c>
      <c r="M86" s="412">
        <v>1</v>
      </c>
      <c r="N86" s="412" t="str">
        <f>IF(MATERIALS!L91="","",MATERIALS!L91)</f>
        <v/>
      </c>
      <c r="O86" s="412" t="str">
        <f>IF(MATERIALS!M91="","",MATERIALS!M91)</f>
        <v/>
      </c>
      <c r="P86" s="412" t="str">
        <f>IF(MATERIALS!N91="","",MATERIALS!N91)</f>
        <v/>
      </c>
      <c r="Q86" s="412"/>
      <c r="R86" s="412"/>
      <c r="S86" s="412"/>
      <c r="T86" s="412"/>
      <c r="U86" s="412"/>
      <c r="V86" s="412"/>
      <c r="W86" s="412"/>
      <c r="X86" s="412"/>
      <c r="Y86" s="412"/>
      <c r="Z86" s="412"/>
      <c r="AA86" s="412"/>
      <c r="AB86" s="412"/>
      <c r="AC86" s="412"/>
      <c r="AD86" s="412"/>
    </row>
    <row r="87" spans="1:30">
      <c r="A87" s="412"/>
      <c r="B87" s="412"/>
      <c r="C87" s="412">
        <f>MATERIALS!C92</f>
        <v>85</v>
      </c>
      <c r="D87" s="412" t="str">
        <f>IF(MATERIALS!D92="","",MATERIALS!D92)</f>
        <v/>
      </c>
      <c r="E87" s="412" t="str">
        <f t="shared" si="5"/>
        <v>Material 85</v>
      </c>
      <c r="F87" s="418">
        <f t="shared" si="6"/>
        <v>1E-3</v>
      </c>
      <c r="G87" s="412">
        <v>0.03</v>
      </c>
      <c r="H87" s="412">
        <f>MATERIALS!I92</f>
        <v>0</v>
      </c>
      <c r="I87" s="412" t="s">
        <v>633</v>
      </c>
      <c r="J87" s="412">
        <v>1</v>
      </c>
      <c r="K87" s="412">
        <v>1</v>
      </c>
      <c r="L87" s="412">
        <v>1</v>
      </c>
      <c r="M87" s="412">
        <v>1</v>
      </c>
      <c r="N87" s="412" t="str">
        <f>IF(MATERIALS!L92="","",MATERIALS!L92)</f>
        <v/>
      </c>
      <c r="O87" s="412" t="str">
        <f>IF(MATERIALS!M92="","",MATERIALS!M92)</f>
        <v/>
      </c>
      <c r="P87" s="412" t="str">
        <f>IF(MATERIALS!N92="","",MATERIALS!N92)</f>
        <v/>
      </c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412"/>
      <c r="AB87" s="412"/>
      <c r="AC87" s="412"/>
      <c r="AD87" s="412"/>
    </row>
    <row r="88" spans="1:30">
      <c r="A88" s="412"/>
      <c r="B88" s="412"/>
      <c r="C88" s="412">
        <f>MATERIALS!C93</f>
        <v>86</v>
      </c>
      <c r="D88" s="412" t="str">
        <f>IF(MATERIALS!D93="","",MATERIALS!D93)</f>
        <v/>
      </c>
      <c r="E88" s="412" t="str">
        <f t="shared" si="5"/>
        <v>Material 86</v>
      </c>
      <c r="F88" s="418">
        <f t="shared" si="6"/>
        <v>1E-3</v>
      </c>
      <c r="G88" s="412">
        <v>0.03</v>
      </c>
      <c r="H88" s="412">
        <f>MATERIALS!I93</f>
        <v>0</v>
      </c>
      <c r="I88" s="412" t="s">
        <v>633</v>
      </c>
      <c r="J88" s="412">
        <v>1</v>
      </c>
      <c r="K88" s="412">
        <v>1</v>
      </c>
      <c r="L88" s="412">
        <v>1</v>
      </c>
      <c r="M88" s="412">
        <v>1</v>
      </c>
      <c r="N88" s="412" t="str">
        <f>IF(MATERIALS!L93="","",MATERIALS!L93)</f>
        <v/>
      </c>
      <c r="O88" s="412" t="str">
        <f>IF(MATERIALS!M93="","",MATERIALS!M93)</f>
        <v/>
      </c>
      <c r="P88" s="412" t="str">
        <f>IF(MATERIALS!N93="","",MATERIALS!N93)</f>
        <v/>
      </c>
      <c r="Q88" s="412"/>
      <c r="R88" s="412"/>
      <c r="S88" s="412"/>
      <c r="T88" s="412"/>
      <c r="U88" s="412"/>
      <c r="V88" s="412"/>
      <c r="W88" s="412"/>
      <c r="X88" s="412"/>
      <c r="Y88" s="412"/>
      <c r="Z88" s="412"/>
      <c r="AA88" s="412"/>
      <c r="AB88" s="412"/>
      <c r="AC88" s="412"/>
      <c r="AD88" s="412"/>
    </row>
    <row r="89" spans="1:30">
      <c r="A89" s="412"/>
      <c r="B89" s="412"/>
      <c r="C89" s="412">
        <f>MATERIALS!C94</f>
        <v>87</v>
      </c>
      <c r="D89" s="412" t="str">
        <f>IF(MATERIALS!D94="","",MATERIALS!D94)</f>
        <v/>
      </c>
      <c r="E89" s="412" t="str">
        <f t="shared" si="5"/>
        <v>Material 87</v>
      </c>
      <c r="F89" s="418">
        <f t="shared" si="6"/>
        <v>1E-3</v>
      </c>
      <c r="G89" s="412">
        <v>0.03</v>
      </c>
      <c r="H89" s="412">
        <f>MATERIALS!I94</f>
        <v>0</v>
      </c>
      <c r="I89" s="412" t="s">
        <v>633</v>
      </c>
      <c r="J89" s="412">
        <v>1</v>
      </c>
      <c r="K89" s="412">
        <v>1</v>
      </c>
      <c r="L89" s="412">
        <v>1</v>
      </c>
      <c r="M89" s="412">
        <v>1</v>
      </c>
      <c r="N89" s="412" t="str">
        <f>IF(MATERIALS!L94="","",MATERIALS!L94)</f>
        <v/>
      </c>
      <c r="O89" s="412" t="str">
        <f>IF(MATERIALS!M94="","",MATERIALS!M94)</f>
        <v/>
      </c>
      <c r="P89" s="412" t="str">
        <f>IF(MATERIALS!N94="","",MATERIALS!N94)</f>
        <v/>
      </c>
      <c r="Q89" s="412"/>
      <c r="R89" s="412"/>
      <c r="S89" s="412"/>
      <c r="T89" s="412"/>
      <c r="U89" s="412"/>
      <c r="V89" s="412"/>
      <c r="W89" s="412"/>
      <c r="X89" s="412"/>
      <c r="Y89" s="412"/>
      <c r="Z89" s="412"/>
      <c r="AA89" s="412"/>
      <c r="AB89" s="412"/>
      <c r="AC89" s="412"/>
      <c r="AD89" s="412"/>
    </row>
    <row r="90" spans="1:30">
      <c r="A90" s="412"/>
      <c r="B90" s="412"/>
      <c r="C90" s="412">
        <f>MATERIALS!C95</f>
        <v>88</v>
      </c>
      <c r="D90" s="412" t="str">
        <f>IF(MATERIALS!D95="","",MATERIALS!D95)</f>
        <v/>
      </c>
      <c r="E90" s="412" t="str">
        <f t="shared" si="5"/>
        <v>Material 88</v>
      </c>
      <c r="F90" s="418">
        <f t="shared" si="6"/>
        <v>1E-3</v>
      </c>
      <c r="G90" s="412">
        <v>0.03</v>
      </c>
      <c r="H90" s="412">
        <f>MATERIALS!I95</f>
        <v>0</v>
      </c>
      <c r="I90" s="412" t="s">
        <v>633</v>
      </c>
      <c r="J90" s="412">
        <v>1</v>
      </c>
      <c r="K90" s="412">
        <v>1</v>
      </c>
      <c r="L90" s="412">
        <v>1</v>
      </c>
      <c r="M90" s="412">
        <v>1</v>
      </c>
      <c r="N90" s="412" t="str">
        <f>IF(MATERIALS!L95="","",MATERIALS!L95)</f>
        <v/>
      </c>
      <c r="O90" s="412" t="str">
        <f>IF(MATERIALS!M95="","",MATERIALS!M95)</f>
        <v/>
      </c>
      <c r="P90" s="412" t="str">
        <f>IF(MATERIALS!N95="","",MATERIALS!N95)</f>
        <v/>
      </c>
      <c r="Q90" s="412"/>
      <c r="R90" s="412"/>
      <c r="S90" s="412"/>
      <c r="T90" s="412"/>
      <c r="U90" s="412"/>
      <c r="V90" s="412"/>
      <c r="W90" s="412"/>
      <c r="X90" s="412"/>
      <c r="Y90" s="412"/>
      <c r="Z90" s="412"/>
      <c r="AA90" s="412"/>
      <c r="AB90" s="412"/>
      <c r="AC90" s="412"/>
      <c r="AD90" s="412"/>
    </row>
    <row r="91" spans="1:30">
      <c r="A91" s="412"/>
      <c r="B91" s="412"/>
      <c r="C91" s="412">
        <f>MATERIALS!C96</f>
        <v>89</v>
      </c>
      <c r="D91" s="412" t="str">
        <f>IF(MATERIALS!D96="","",MATERIALS!D96)</f>
        <v/>
      </c>
      <c r="E91" s="412" t="str">
        <f t="shared" si="5"/>
        <v>Material 89</v>
      </c>
      <c r="F91" s="418">
        <f t="shared" si="6"/>
        <v>1E-3</v>
      </c>
      <c r="G91" s="412">
        <v>0.03</v>
      </c>
      <c r="H91" s="412">
        <f>MATERIALS!I96</f>
        <v>0</v>
      </c>
      <c r="I91" s="412" t="s">
        <v>633</v>
      </c>
      <c r="J91" s="412">
        <v>1</v>
      </c>
      <c r="K91" s="412">
        <v>1</v>
      </c>
      <c r="L91" s="412">
        <v>1</v>
      </c>
      <c r="M91" s="412">
        <v>1</v>
      </c>
      <c r="N91" s="412" t="str">
        <f>IF(MATERIALS!L96="","",MATERIALS!L96)</f>
        <v/>
      </c>
      <c r="O91" s="412" t="str">
        <f>IF(MATERIALS!M96="","",MATERIALS!M96)</f>
        <v/>
      </c>
      <c r="P91" s="412" t="str">
        <f>IF(MATERIALS!N96="","",MATERIALS!N96)</f>
        <v/>
      </c>
      <c r="Q91" s="412"/>
      <c r="R91" s="412"/>
      <c r="S91" s="412"/>
      <c r="T91" s="412"/>
      <c r="U91" s="412"/>
      <c r="V91" s="412"/>
      <c r="W91" s="412"/>
      <c r="X91" s="412"/>
      <c r="Y91" s="412"/>
      <c r="Z91" s="412"/>
      <c r="AA91" s="412"/>
      <c r="AB91" s="412"/>
      <c r="AC91" s="412"/>
      <c r="AD91" s="412"/>
    </row>
    <row r="92" spans="1:30">
      <c r="A92" s="412"/>
      <c r="B92" s="412"/>
      <c r="C92" s="412">
        <f>MATERIALS!C97</f>
        <v>90</v>
      </c>
      <c r="D92" s="412" t="str">
        <f>IF(MATERIALS!D97="","",MATERIALS!D97)</f>
        <v/>
      </c>
      <c r="E92" s="412" t="str">
        <f t="shared" si="5"/>
        <v>Material 90</v>
      </c>
      <c r="F92" s="418">
        <f t="shared" si="6"/>
        <v>1E-3</v>
      </c>
      <c r="G92" s="412">
        <v>0.03</v>
      </c>
      <c r="H92" s="412">
        <f>MATERIALS!I97</f>
        <v>0</v>
      </c>
      <c r="I92" s="412" t="s">
        <v>633</v>
      </c>
      <c r="J92" s="412">
        <v>1</v>
      </c>
      <c r="K92" s="412">
        <v>1</v>
      </c>
      <c r="L92" s="412">
        <v>1</v>
      </c>
      <c r="M92" s="412">
        <v>1</v>
      </c>
      <c r="N92" s="412" t="str">
        <f>IF(MATERIALS!L97="","",MATERIALS!L97)</f>
        <v/>
      </c>
      <c r="O92" s="412" t="str">
        <f>IF(MATERIALS!M97="","",MATERIALS!M97)</f>
        <v/>
      </c>
      <c r="P92" s="412" t="str">
        <f>IF(MATERIALS!N97="","",MATERIALS!N97)</f>
        <v/>
      </c>
      <c r="Q92" s="412"/>
      <c r="R92" s="412"/>
      <c r="S92" s="412"/>
      <c r="T92" s="412"/>
      <c r="U92" s="412"/>
      <c r="V92" s="412"/>
      <c r="W92" s="412"/>
      <c r="X92" s="412"/>
      <c r="Y92" s="412"/>
      <c r="Z92" s="412"/>
      <c r="AA92" s="412"/>
      <c r="AB92" s="412"/>
      <c r="AC92" s="412"/>
      <c r="AD92" s="412"/>
    </row>
    <row r="93" spans="1:30">
      <c r="A93" s="412"/>
      <c r="B93" s="412"/>
      <c r="C93" s="412">
        <f>MATERIALS!C98</f>
        <v>91</v>
      </c>
      <c r="D93" s="412" t="str">
        <f>IF(MATERIALS!D98="","",MATERIALS!D98)</f>
        <v/>
      </c>
      <c r="E93" s="412" t="str">
        <f t="shared" si="5"/>
        <v>Material 91</v>
      </c>
      <c r="F93" s="418">
        <f t="shared" si="6"/>
        <v>1E-3</v>
      </c>
      <c r="G93" s="412">
        <v>0.03</v>
      </c>
      <c r="H93" s="412">
        <f>MATERIALS!I98</f>
        <v>0</v>
      </c>
      <c r="I93" s="412" t="s">
        <v>633</v>
      </c>
      <c r="J93" s="412">
        <v>1</v>
      </c>
      <c r="K93" s="412">
        <v>1</v>
      </c>
      <c r="L93" s="412">
        <v>1</v>
      </c>
      <c r="M93" s="412">
        <v>1</v>
      </c>
      <c r="N93" s="412" t="str">
        <f>IF(MATERIALS!L98="","",MATERIALS!L98)</f>
        <v/>
      </c>
      <c r="O93" s="412" t="str">
        <f>IF(MATERIALS!M98="","",MATERIALS!M98)</f>
        <v/>
      </c>
      <c r="P93" s="412" t="str">
        <f>IF(MATERIALS!N98="","",MATERIALS!N98)</f>
        <v/>
      </c>
      <c r="Q93" s="412"/>
      <c r="R93" s="412"/>
      <c r="S93" s="412"/>
      <c r="T93" s="412"/>
      <c r="U93" s="412"/>
      <c r="V93" s="412"/>
      <c r="W93" s="412"/>
      <c r="X93" s="412"/>
      <c r="Y93" s="412"/>
      <c r="Z93" s="412"/>
      <c r="AA93" s="412"/>
      <c r="AB93" s="412"/>
      <c r="AC93" s="412"/>
      <c r="AD93" s="412"/>
    </row>
    <row r="94" spans="1:30">
      <c r="A94" s="412"/>
      <c r="B94" s="412"/>
      <c r="C94" s="412">
        <f>MATERIALS!C99</f>
        <v>92</v>
      </c>
      <c r="D94" s="412" t="str">
        <f>IF(MATERIALS!D99="","",MATERIALS!D99)</f>
        <v/>
      </c>
      <c r="E94" s="412" t="str">
        <f t="shared" si="5"/>
        <v>Material 92</v>
      </c>
      <c r="F94" s="418">
        <f t="shared" si="6"/>
        <v>1E-3</v>
      </c>
      <c r="G94" s="412">
        <v>0.03</v>
      </c>
      <c r="H94" s="412">
        <f>MATERIALS!I99</f>
        <v>0</v>
      </c>
      <c r="I94" s="412" t="s">
        <v>633</v>
      </c>
      <c r="J94" s="412">
        <v>1</v>
      </c>
      <c r="K94" s="412">
        <v>1</v>
      </c>
      <c r="L94" s="412">
        <v>1</v>
      </c>
      <c r="M94" s="412">
        <v>1</v>
      </c>
      <c r="N94" s="412" t="str">
        <f>IF(MATERIALS!L99="","",MATERIALS!L99)</f>
        <v/>
      </c>
      <c r="O94" s="412" t="str">
        <f>IF(MATERIALS!M99="","",MATERIALS!M99)</f>
        <v/>
      </c>
      <c r="P94" s="412" t="str">
        <f>IF(MATERIALS!N99="","",MATERIALS!N99)</f>
        <v/>
      </c>
      <c r="Q94" s="412"/>
      <c r="R94" s="412"/>
      <c r="S94" s="412"/>
      <c r="T94" s="412"/>
      <c r="U94" s="412"/>
      <c r="V94" s="412"/>
      <c r="W94" s="412"/>
      <c r="X94" s="412"/>
      <c r="Y94" s="412"/>
      <c r="Z94" s="412"/>
      <c r="AA94" s="412"/>
      <c r="AB94" s="412"/>
      <c r="AC94" s="412"/>
      <c r="AD94" s="412"/>
    </row>
    <row r="95" spans="1:30">
      <c r="A95" s="412"/>
      <c r="B95" s="412"/>
      <c r="C95" s="412">
        <f>MATERIALS!C100</f>
        <v>93</v>
      </c>
      <c r="D95" s="412" t="str">
        <f>IF(MATERIALS!D100="","",MATERIALS!D100)</f>
        <v/>
      </c>
      <c r="E95" s="412" t="str">
        <f t="shared" si="5"/>
        <v>Material 93</v>
      </c>
      <c r="F95" s="418">
        <f t="shared" si="6"/>
        <v>1E-3</v>
      </c>
      <c r="G95" s="412">
        <v>0.03</v>
      </c>
      <c r="H95" s="412">
        <f>MATERIALS!I100</f>
        <v>0</v>
      </c>
      <c r="I95" s="412" t="s">
        <v>633</v>
      </c>
      <c r="J95" s="412">
        <v>1</v>
      </c>
      <c r="K95" s="412">
        <v>1</v>
      </c>
      <c r="L95" s="412">
        <v>1</v>
      </c>
      <c r="M95" s="412">
        <v>1</v>
      </c>
      <c r="N95" s="412" t="str">
        <f>IF(MATERIALS!L100="","",MATERIALS!L100)</f>
        <v/>
      </c>
      <c r="O95" s="412" t="str">
        <f>IF(MATERIALS!M100="","",MATERIALS!M100)</f>
        <v/>
      </c>
      <c r="P95" s="412" t="str">
        <f>IF(MATERIALS!N100="","",MATERIALS!N100)</f>
        <v/>
      </c>
      <c r="Q95" s="412"/>
      <c r="R95" s="412"/>
      <c r="S95" s="412"/>
      <c r="T95" s="412"/>
      <c r="U95" s="412"/>
      <c r="V95" s="412"/>
      <c r="W95" s="412"/>
      <c r="X95" s="412"/>
      <c r="Y95" s="412"/>
      <c r="Z95" s="412"/>
      <c r="AA95" s="412"/>
      <c r="AB95" s="412"/>
      <c r="AC95" s="412"/>
      <c r="AD95" s="412"/>
    </row>
    <row r="96" spans="1:30">
      <c r="A96" s="412"/>
      <c r="B96" s="412"/>
      <c r="C96" s="412">
        <f>MATERIALS!C101</f>
        <v>94</v>
      </c>
      <c r="D96" s="412" t="str">
        <f>IF(MATERIALS!D101="","",MATERIALS!D101)</f>
        <v/>
      </c>
      <c r="E96" s="412" t="str">
        <f t="shared" si="5"/>
        <v>Material 94</v>
      </c>
      <c r="F96" s="418">
        <f t="shared" si="6"/>
        <v>1E-3</v>
      </c>
      <c r="G96" s="412">
        <v>0.03</v>
      </c>
      <c r="H96" s="412">
        <f>MATERIALS!I101</f>
        <v>0</v>
      </c>
      <c r="I96" s="412" t="s">
        <v>633</v>
      </c>
      <c r="J96" s="412">
        <v>1</v>
      </c>
      <c r="K96" s="412">
        <v>1</v>
      </c>
      <c r="L96" s="412">
        <v>1</v>
      </c>
      <c r="M96" s="412">
        <v>1</v>
      </c>
      <c r="N96" s="412" t="str">
        <f>IF(MATERIALS!L101="","",MATERIALS!L101)</f>
        <v/>
      </c>
      <c r="O96" s="412" t="str">
        <f>IF(MATERIALS!M101="","",MATERIALS!M101)</f>
        <v/>
      </c>
      <c r="P96" s="412" t="str">
        <f>IF(MATERIALS!N101="","",MATERIALS!N101)</f>
        <v/>
      </c>
      <c r="Q96" s="412"/>
      <c r="R96" s="412"/>
      <c r="S96" s="412"/>
      <c r="T96" s="412"/>
      <c r="U96" s="412"/>
      <c r="V96" s="412"/>
      <c r="W96" s="412"/>
      <c r="X96" s="412"/>
      <c r="Y96" s="412"/>
      <c r="Z96" s="412"/>
      <c r="AA96" s="412"/>
      <c r="AB96" s="412"/>
      <c r="AC96" s="412"/>
      <c r="AD96" s="412"/>
    </row>
    <row r="97" spans="1:30">
      <c r="A97" s="412"/>
      <c r="B97" s="412"/>
      <c r="C97" s="412">
        <f>MATERIALS!C102</f>
        <v>95</v>
      </c>
      <c r="D97" s="412" t="str">
        <f>IF(MATERIALS!D102="","",MATERIALS!D102)</f>
        <v/>
      </c>
      <c r="E97" s="412" t="str">
        <f t="shared" si="5"/>
        <v>Material 95</v>
      </c>
      <c r="F97" s="418">
        <f t="shared" si="6"/>
        <v>1E-3</v>
      </c>
      <c r="G97" s="412">
        <v>0.03</v>
      </c>
      <c r="H97" s="412">
        <f>MATERIALS!I102</f>
        <v>0</v>
      </c>
      <c r="I97" s="412" t="s">
        <v>633</v>
      </c>
      <c r="J97" s="412">
        <v>1</v>
      </c>
      <c r="K97" s="412">
        <v>1</v>
      </c>
      <c r="L97" s="412">
        <v>1</v>
      </c>
      <c r="M97" s="412">
        <v>1</v>
      </c>
      <c r="N97" s="412" t="str">
        <f>IF(MATERIALS!L102="","",MATERIALS!L102)</f>
        <v/>
      </c>
      <c r="O97" s="412" t="str">
        <f>IF(MATERIALS!M102="","",MATERIALS!M102)</f>
        <v/>
      </c>
      <c r="P97" s="412" t="str">
        <f>IF(MATERIALS!N102="","",MATERIALS!N102)</f>
        <v/>
      </c>
      <c r="Q97" s="412"/>
      <c r="R97" s="412"/>
      <c r="S97" s="412"/>
      <c r="T97" s="412"/>
      <c r="U97" s="412"/>
      <c r="V97" s="412"/>
      <c r="W97" s="412"/>
      <c r="X97" s="412"/>
      <c r="Y97" s="412"/>
      <c r="Z97" s="412"/>
      <c r="AA97" s="412"/>
      <c r="AB97" s="412"/>
      <c r="AC97" s="412"/>
      <c r="AD97" s="412"/>
    </row>
    <row r="98" spans="1:30">
      <c r="A98" s="412"/>
      <c r="B98" s="412"/>
      <c r="C98" s="412">
        <f>MATERIALS!C103</f>
        <v>96</v>
      </c>
      <c r="D98" s="412" t="str">
        <f>IF(MATERIALS!D103="","",MATERIALS!D103)</f>
        <v/>
      </c>
      <c r="E98" s="412" t="str">
        <f t="shared" si="5"/>
        <v>Material 96</v>
      </c>
      <c r="F98" s="418">
        <f t="shared" si="6"/>
        <v>1E-3</v>
      </c>
      <c r="G98" s="412">
        <v>0.03</v>
      </c>
      <c r="H98" s="412">
        <f>MATERIALS!I103</f>
        <v>0</v>
      </c>
      <c r="I98" s="412" t="s">
        <v>633</v>
      </c>
      <c r="J98" s="412">
        <v>1</v>
      </c>
      <c r="K98" s="412">
        <v>1</v>
      </c>
      <c r="L98" s="412">
        <v>1</v>
      </c>
      <c r="M98" s="412">
        <v>1</v>
      </c>
      <c r="N98" s="412" t="str">
        <f>IF(MATERIALS!L103="","",MATERIALS!L103)</f>
        <v/>
      </c>
      <c r="O98" s="412" t="str">
        <f>IF(MATERIALS!M103="","",MATERIALS!M103)</f>
        <v/>
      </c>
      <c r="P98" s="412" t="str">
        <f>IF(MATERIALS!N103="","",MATERIALS!N103)</f>
        <v/>
      </c>
      <c r="Q98" s="412"/>
      <c r="R98" s="412"/>
      <c r="S98" s="412"/>
      <c r="T98" s="412"/>
      <c r="U98" s="412"/>
      <c r="V98" s="412"/>
      <c r="W98" s="412"/>
      <c r="X98" s="412"/>
      <c r="Y98" s="412"/>
      <c r="Z98" s="412"/>
      <c r="AA98" s="412"/>
      <c r="AB98" s="412"/>
      <c r="AC98" s="412"/>
      <c r="AD98" s="412"/>
    </row>
    <row r="99" spans="1:30">
      <c r="A99" s="412"/>
      <c r="B99" s="412"/>
      <c r="C99" s="412">
        <f>MATERIALS!C104</f>
        <v>97</v>
      </c>
      <c r="D99" s="412" t="str">
        <f>IF(MATERIALS!D104="","",MATERIALS!D104)</f>
        <v/>
      </c>
      <c r="E99" s="412" t="str">
        <f t="shared" si="5"/>
        <v>Material 97</v>
      </c>
      <c r="F99" s="418">
        <f t="shared" si="6"/>
        <v>1E-3</v>
      </c>
      <c r="G99" s="412">
        <v>0.03</v>
      </c>
      <c r="H99" s="412">
        <f>MATERIALS!I104</f>
        <v>0</v>
      </c>
      <c r="I99" s="412" t="s">
        <v>633</v>
      </c>
      <c r="J99" s="412">
        <v>1</v>
      </c>
      <c r="K99" s="412">
        <v>1</v>
      </c>
      <c r="L99" s="412">
        <v>1</v>
      </c>
      <c r="M99" s="412">
        <v>1</v>
      </c>
      <c r="N99" s="412" t="str">
        <f>IF(MATERIALS!L104="","",MATERIALS!L104)</f>
        <v/>
      </c>
      <c r="O99" s="412" t="str">
        <f>IF(MATERIALS!M104="","",MATERIALS!M104)</f>
        <v/>
      </c>
      <c r="P99" s="412" t="str">
        <f>IF(MATERIALS!N104="","",MATERIALS!N104)</f>
        <v/>
      </c>
      <c r="Q99" s="412"/>
      <c r="R99" s="412"/>
      <c r="S99" s="412"/>
      <c r="T99" s="412"/>
      <c r="U99" s="412"/>
      <c r="V99" s="412"/>
      <c r="W99" s="412"/>
      <c r="X99" s="412"/>
      <c r="Y99" s="412"/>
      <c r="Z99" s="412"/>
      <c r="AA99" s="412"/>
      <c r="AB99" s="412"/>
      <c r="AC99" s="412"/>
      <c r="AD99" s="412"/>
    </row>
    <row r="100" spans="1:30">
      <c r="A100" s="412"/>
      <c r="B100" s="412"/>
      <c r="C100" s="412">
        <f>MATERIALS!C105</f>
        <v>98</v>
      </c>
      <c r="D100" s="412" t="str">
        <f>IF(MATERIALS!D105="","",MATERIALS!D105)</f>
        <v/>
      </c>
      <c r="E100" s="412" t="str">
        <f t="shared" si="5"/>
        <v>Material 98</v>
      </c>
      <c r="F100" s="418">
        <f t="shared" si="6"/>
        <v>1E-3</v>
      </c>
      <c r="G100" s="412">
        <v>0.03</v>
      </c>
      <c r="H100" s="412">
        <f>MATERIALS!I105</f>
        <v>0</v>
      </c>
      <c r="I100" s="412" t="s">
        <v>633</v>
      </c>
      <c r="J100" s="412">
        <v>1</v>
      </c>
      <c r="K100" s="412">
        <v>1</v>
      </c>
      <c r="L100" s="412">
        <v>1</v>
      </c>
      <c r="M100" s="412">
        <v>1</v>
      </c>
      <c r="N100" s="412" t="str">
        <f>IF(MATERIALS!L105="","",MATERIALS!L105)</f>
        <v/>
      </c>
      <c r="O100" s="412" t="str">
        <f>IF(MATERIALS!M105="","",MATERIALS!M105)</f>
        <v/>
      </c>
      <c r="P100" s="412" t="str">
        <f>IF(MATERIALS!N105="","",MATERIALS!N105)</f>
        <v/>
      </c>
      <c r="Q100" s="412"/>
      <c r="R100" s="412"/>
      <c r="S100" s="412"/>
      <c r="T100" s="412"/>
      <c r="U100" s="412"/>
      <c r="V100" s="412"/>
      <c r="W100" s="412"/>
      <c r="X100" s="412"/>
      <c r="Y100" s="412"/>
      <c r="Z100" s="412"/>
      <c r="AA100" s="412"/>
      <c r="AB100" s="412"/>
      <c r="AC100" s="412"/>
      <c r="AD100" s="412"/>
    </row>
    <row r="101" spans="1:30">
      <c r="A101" s="412"/>
      <c r="B101" s="412"/>
      <c r="C101" s="412">
        <f>MATERIALS!C106</f>
        <v>99</v>
      </c>
      <c r="D101" s="412" t="str">
        <f>IF(MATERIALS!D106="","",MATERIALS!D106)</f>
        <v/>
      </c>
      <c r="E101" s="412" t="str">
        <f t="shared" si="5"/>
        <v>Material 99</v>
      </c>
      <c r="F101" s="418">
        <f t="shared" si="6"/>
        <v>1E-3</v>
      </c>
      <c r="G101" s="412">
        <v>0.03</v>
      </c>
      <c r="H101" s="412">
        <f>MATERIALS!I106</f>
        <v>0</v>
      </c>
      <c r="I101" s="412" t="s">
        <v>633</v>
      </c>
      <c r="J101" s="412">
        <v>1</v>
      </c>
      <c r="K101" s="412">
        <v>1</v>
      </c>
      <c r="L101" s="412">
        <v>1</v>
      </c>
      <c r="M101" s="412">
        <v>1</v>
      </c>
      <c r="N101" s="412" t="str">
        <f>IF(MATERIALS!L106="","",MATERIALS!L106)</f>
        <v/>
      </c>
      <c r="O101" s="412" t="str">
        <f>IF(MATERIALS!M106="","",MATERIALS!M106)</f>
        <v/>
      </c>
      <c r="P101" s="412" t="str">
        <f>IF(MATERIALS!N106="","",MATERIALS!N106)</f>
        <v/>
      </c>
      <c r="Q101" s="412"/>
      <c r="R101" s="412"/>
      <c r="S101" s="412"/>
      <c r="T101" s="412"/>
      <c r="U101" s="412"/>
      <c r="V101" s="412"/>
      <c r="W101" s="412"/>
      <c r="X101" s="412"/>
      <c r="Y101" s="412"/>
      <c r="Z101" s="412"/>
      <c r="AA101" s="412"/>
      <c r="AB101" s="412"/>
      <c r="AC101" s="412"/>
      <c r="AD101" s="412"/>
    </row>
    <row r="102" spans="1:30">
      <c r="A102" s="412"/>
      <c r="B102" s="412"/>
      <c r="C102" s="412">
        <f>MATERIALS!C107</f>
        <v>100</v>
      </c>
      <c r="D102" s="412" t="str">
        <f>IF(MATERIALS!D107="","",MATERIALS!D107)</f>
        <v/>
      </c>
      <c r="E102" s="412" t="str">
        <f t="shared" si="5"/>
        <v>Material 100</v>
      </c>
      <c r="F102" s="418">
        <f t="shared" si="6"/>
        <v>1E-3</v>
      </c>
      <c r="G102" s="412">
        <v>0.03</v>
      </c>
      <c r="H102" s="412">
        <f>MATERIALS!I107</f>
        <v>0</v>
      </c>
      <c r="I102" s="412" t="s">
        <v>633</v>
      </c>
      <c r="J102" s="412">
        <v>1</v>
      </c>
      <c r="K102" s="412">
        <v>1</v>
      </c>
      <c r="L102" s="412">
        <v>1</v>
      </c>
      <c r="M102" s="412">
        <v>1</v>
      </c>
      <c r="N102" s="412" t="str">
        <f>IF(MATERIALS!L107="","",MATERIALS!L107)</f>
        <v/>
      </c>
      <c r="O102" s="412" t="str">
        <f>IF(MATERIALS!M107="","",MATERIALS!M107)</f>
        <v/>
      </c>
      <c r="P102" s="412" t="str">
        <f>IF(MATERIALS!N107="","",MATERIALS!N107)</f>
        <v/>
      </c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412"/>
      <c r="AB102" s="412"/>
      <c r="AC102" s="412"/>
      <c r="AD102" s="412"/>
    </row>
    <row r="103" spans="1:30">
      <c r="A103" s="412" t="s">
        <v>1168</v>
      </c>
      <c r="B103" s="412"/>
      <c r="C103" s="412" t="s">
        <v>583</v>
      </c>
      <c r="D103" s="246" t="s">
        <v>584</v>
      </c>
      <c r="E103" s="412" t="s">
        <v>583</v>
      </c>
      <c r="F103" s="418">
        <v>0.12</v>
      </c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  <c r="AC103" s="412"/>
      <c r="AD103" s="412"/>
    </row>
    <row r="104" spans="1:30">
      <c r="A104" s="412"/>
      <c r="B104" s="412"/>
      <c r="C104" s="1" t="s">
        <v>590</v>
      </c>
      <c r="D104" s="246" t="s">
        <v>591</v>
      </c>
      <c r="E104" s="412" t="s">
        <v>590</v>
      </c>
      <c r="F104" s="418">
        <v>0.12</v>
      </c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412"/>
      <c r="Z104" s="412"/>
      <c r="AA104" s="412"/>
      <c r="AB104" s="412"/>
      <c r="AC104" s="412"/>
      <c r="AD104" s="412"/>
    </row>
    <row r="105" spans="1:30">
      <c r="A105" s="412"/>
      <c r="B105" s="412"/>
      <c r="C105" s="412" t="str">
        <f>'Templ-Mats'!B7</f>
        <v>F05</v>
      </c>
      <c r="D105" s="412" t="str">
        <f>'Templ-Mats'!C7</f>
        <v>Ceiling air space resistance</v>
      </c>
      <c r="E105" s="412" t="str">
        <f t="shared" ref="E105:E149" si="7">C105</f>
        <v>F05</v>
      </c>
      <c r="F105" s="418" t="e">
        <f t="shared" ref="F105:F168" si="8">(H105/1000)/G105</f>
        <v>#DIV/0!</v>
      </c>
      <c r="G105" s="412">
        <f>'Templ-Mats'!J7</f>
        <v>0</v>
      </c>
      <c r="H105" s="412">
        <f>'Templ-Mats'!G7</f>
        <v>0</v>
      </c>
      <c r="I105" s="412"/>
      <c r="J105" s="412"/>
      <c r="K105" s="412"/>
      <c r="L105" s="412"/>
      <c r="M105" s="412"/>
      <c r="N105" s="412"/>
      <c r="O105" s="412"/>
      <c r="P105" s="412"/>
      <c r="Q105" s="412"/>
      <c r="R105" s="412">
        <f>R52+1</f>
        <v>1</v>
      </c>
      <c r="S105" s="412" t="e">
        <f>VLOOKUP('Templ-Cons'!J6,$D$3:$F$407,2,0)</f>
        <v>#N/A</v>
      </c>
      <c r="T105" s="412" t="e">
        <f>VLOOKUP('Templ-Cons'!L6,$D$3:$F$407,2,0)</f>
        <v>#N/A</v>
      </c>
      <c r="U105" s="412" t="e">
        <f>VLOOKUP('Templ-Cons'!N6,$D$3:$F$407,2,0)</f>
        <v>#N/A</v>
      </c>
      <c r="V105" s="412" t="e">
        <f>VLOOKUP('Templ-Cons'!P6,$D$3:$F$407,2,0)</f>
        <v>#N/A</v>
      </c>
      <c r="W105" s="412" t="str">
        <f>VLOOKUP('Templ-Cons'!R6,$D$3:$F$407,2,0)</f>
        <v>Material 6</v>
      </c>
      <c r="X105" s="412" t="e">
        <f>{#N/A}</f>
        <v>#N/A</v>
      </c>
      <c r="Y105" s="412" t="e">
        <f>{#N/A}</f>
        <v>#N/A</v>
      </c>
      <c r="Z105" s="412" t="e">
        <f>{#N/A}</f>
        <v>#N/A</v>
      </c>
      <c r="AC105" s="412"/>
    </row>
    <row r="106" spans="1:30">
      <c r="A106" s="412"/>
      <c r="B106" s="412"/>
      <c r="C106" s="412" t="str">
        <f>'Templ-Mats'!B8</f>
        <v>F06</v>
      </c>
      <c r="D106" s="412" t="str">
        <f>'Templ-Mats'!C8</f>
        <v>EIFS finish</v>
      </c>
      <c r="E106" s="412" t="str">
        <f t="shared" si="7"/>
        <v>F06</v>
      </c>
      <c r="F106" s="418">
        <f t="shared" si="8"/>
        <v>1.3194444444444444E-2</v>
      </c>
      <c r="G106" s="412">
        <f>'Templ-Mats'!J8</f>
        <v>0.72</v>
      </c>
      <c r="H106" s="412">
        <f>'Templ-Mats'!G8</f>
        <v>9.5</v>
      </c>
      <c r="I106" s="412"/>
      <c r="J106" s="412"/>
      <c r="K106" s="412"/>
      <c r="L106" s="412"/>
      <c r="M106" s="412"/>
      <c r="N106" s="412"/>
      <c r="O106" s="412"/>
      <c r="P106" s="412"/>
      <c r="Q106" s="412"/>
      <c r="R106" s="412">
        <f t="shared" ref="R106:R130" si="9">R105+1</f>
        <v>2</v>
      </c>
      <c r="S106" s="412">
        <f>VLOOKUP('Templ-Cons'!J7,$D$3:$F$407,2,0)</f>
        <v>0</v>
      </c>
      <c r="T106" s="412">
        <f>VLOOKUP('Templ-Cons'!L7,$D$3:$F$407,2,0)</f>
        <v>0</v>
      </c>
      <c r="U106" s="412">
        <f>VLOOKUP('Templ-Cons'!N7,$D$3:$F$407,2,0)</f>
        <v>0</v>
      </c>
      <c r="V106" s="412" t="e">
        <f>VLOOKUP('Templ-Cons'!P7,$D$3:$F$407,2,0)</f>
        <v>#N/A</v>
      </c>
      <c r="W106" s="412" t="e">
        <f>VLOOKUP('Templ-Cons'!R7,$D$3:$F$407,2,0)</f>
        <v>#N/A</v>
      </c>
      <c r="X106" s="412" t="e">
        <f>{#N/A}</f>
        <v>#N/A</v>
      </c>
      <c r="Y106" s="412" t="e">
        <f>{#N/A}</f>
        <v>#N/A</v>
      </c>
      <c r="Z106" s="412" t="e">
        <f>{#N/A}</f>
        <v>#N/A</v>
      </c>
      <c r="AA106" s="412"/>
      <c r="AB106" s="412"/>
      <c r="AC106" s="412"/>
      <c r="AD106" s="412"/>
    </row>
    <row r="107" spans="1:30">
      <c r="A107" s="412"/>
      <c r="B107" s="412"/>
      <c r="C107" s="412" t="str">
        <f>'Templ-Mats'!B9</f>
        <v>F07</v>
      </c>
      <c r="D107" s="412" t="str">
        <f>'Templ-Mats'!C9</f>
        <v>25mm stucco</v>
      </c>
      <c r="E107" s="412" t="str">
        <f t="shared" si="7"/>
        <v>F07</v>
      </c>
      <c r="F107" s="418">
        <f t="shared" si="8"/>
        <v>3.5277777777777776E-2</v>
      </c>
      <c r="G107" s="412">
        <f>'Templ-Mats'!J9</f>
        <v>0.72</v>
      </c>
      <c r="H107" s="412">
        <f>'Templ-Mats'!G9</f>
        <v>25.4</v>
      </c>
      <c r="I107" s="412"/>
      <c r="J107" s="412"/>
      <c r="K107" s="412"/>
      <c r="L107" s="412"/>
      <c r="M107" s="412"/>
      <c r="N107" s="412"/>
      <c r="O107" s="412"/>
      <c r="P107" s="412"/>
      <c r="Q107" s="412"/>
      <c r="R107" s="412">
        <f t="shared" si="9"/>
        <v>3</v>
      </c>
      <c r="S107" s="412">
        <f>VLOOKUP('Templ-Cons'!J8,$D$3:$F$407,2,0)</f>
        <v>0</v>
      </c>
      <c r="T107" s="412">
        <f>VLOOKUP('Templ-Cons'!L8,$D$3:$F$407,2,0)</f>
        <v>0</v>
      </c>
      <c r="U107" s="412">
        <f>VLOOKUP('Templ-Cons'!N8,$D$3:$F$407,2,0)</f>
        <v>0</v>
      </c>
      <c r="V107" s="412" t="e">
        <f>VLOOKUP('Templ-Cons'!P8,$D$3:$F$407,2,0)</f>
        <v>#N/A</v>
      </c>
      <c r="W107" s="412" t="e">
        <f>VLOOKUP('Templ-Cons'!R8,$D$3:$F$407,2,0)</f>
        <v>#N/A</v>
      </c>
      <c r="X107" s="412" t="e">
        <f>{#N/A}</f>
        <v>#N/A</v>
      </c>
      <c r="Y107" s="412" t="e">
        <f>{#N/A}</f>
        <v>#N/A</v>
      </c>
      <c r="Z107" s="412" t="e">
        <f>{#N/A}</f>
        <v>#N/A</v>
      </c>
      <c r="AA107" s="412"/>
      <c r="AB107" s="412"/>
      <c r="AC107" s="412"/>
      <c r="AD107" s="412"/>
    </row>
    <row r="108" spans="1:30">
      <c r="A108" s="412"/>
      <c r="B108" s="412"/>
      <c r="C108" s="412" t="str">
        <f>'Templ-Mats'!B10</f>
        <v>F08</v>
      </c>
      <c r="D108" s="412" t="str">
        <f>'Templ-Mats'!C10</f>
        <v>Metal surface</v>
      </c>
      <c r="E108" s="412" t="str">
        <f t="shared" si="7"/>
        <v>F08</v>
      </c>
      <c r="F108" s="418">
        <f t="shared" si="8"/>
        <v>1.7667844522968198E-5</v>
      </c>
      <c r="G108" s="412">
        <f>'Templ-Mats'!J10</f>
        <v>45.28</v>
      </c>
      <c r="H108" s="412">
        <f>'Templ-Mats'!G10</f>
        <v>0.8</v>
      </c>
      <c r="I108" s="412"/>
      <c r="J108" s="412"/>
      <c r="K108" s="412"/>
      <c r="L108" s="412"/>
      <c r="M108" s="412"/>
      <c r="N108" s="412"/>
      <c r="O108" s="412"/>
      <c r="P108" s="412"/>
      <c r="Q108" s="412"/>
      <c r="R108" s="412">
        <f t="shared" si="9"/>
        <v>4</v>
      </c>
      <c r="S108" s="412">
        <f>VLOOKUP('Templ-Cons'!J9,$D$3:$F$407,2,0)</f>
        <v>0</v>
      </c>
      <c r="T108" s="412">
        <f>VLOOKUP('Templ-Cons'!L9,$D$3:$F$407,2,0)</f>
        <v>0</v>
      </c>
      <c r="U108" s="412">
        <f>VLOOKUP('Templ-Cons'!N9,$D$3:$F$407,2,0)</f>
        <v>0</v>
      </c>
      <c r="V108" s="412" t="e">
        <f>VLOOKUP('Templ-Cons'!P9,$D$3:$F$407,2,0)</f>
        <v>#N/A</v>
      </c>
      <c r="W108" s="412" t="e">
        <f>VLOOKUP('Templ-Cons'!R9,$D$3:$F$407,2,0)</f>
        <v>#N/A</v>
      </c>
      <c r="X108" s="412" t="e">
        <f>{#N/A}</f>
        <v>#N/A</v>
      </c>
      <c r="Y108" s="412" t="e">
        <f>{#N/A}</f>
        <v>#N/A</v>
      </c>
      <c r="Z108" s="412" t="e">
        <f>{#N/A}</f>
        <v>#N/A</v>
      </c>
      <c r="AA108" s="412"/>
      <c r="AB108" s="412"/>
      <c r="AC108" s="412"/>
      <c r="AD108" s="412"/>
    </row>
    <row r="109" spans="1:30">
      <c r="A109" s="412"/>
      <c r="B109" s="412"/>
      <c r="C109" s="412" t="str">
        <f>'Templ-Mats'!B11</f>
        <v>F09</v>
      </c>
      <c r="D109" s="412" t="str">
        <f>'Templ-Mats'!C11</f>
        <v>Opaque spandrel glass</v>
      </c>
      <c r="E109" s="412" t="str">
        <f t="shared" si="7"/>
        <v>F09</v>
      </c>
      <c r="F109" s="418">
        <f t="shared" si="8"/>
        <v>6.4646464646464646E-3</v>
      </c>
      <c r="G109" s="412">
        <f>'Templ-Mats'!J11</f>
        <v>0.99</v>
      </c>
      <c r="H109" s="412">
        <f>'Templ-Mats'!G11</f>
        <v>6.4</v>
      </c>
      <c r="I109" s="412"/>
      <c r="J109" s="412"/>
      <c r="K109" s="412"/>
      <c r="L109" s="412"/>
      <c r="M109" s="412"/>
      <c r="N109" s="412"/>
      <c r="O109" s="412"/>
      <c r="P109" s="412"/>
      <c r="Q109" s="412"/>
      <c r="R109" s="412">
        <f t="shared" si="9"/>
        <v>5</v>
      </c>
      <c r="S109" s="412">
        <f>VLOOKUP('Templ-Cons'!J10,$D$3:$F$407,2,0)</f>
        <v>0</v>
      </c>
      <c r="T109" s="412">
        <f>VLOOKUP('Templ-Cons'!L10,$D$3:$F$407,2,0)</f>
        <v>0</v>
      </c>
      <c r="U109" s="412">
        <f>VLOOKUP('Templ-Cons'!N10,$D$3:$F$407,2,0)</f>
        <v>0</v>
      </c>
      <c r="V109" s="412" t="e">
        <f>VLOOKUP('Templ-Cons'!P10,$D$3:$F$407,2,0)</f>
        <v>#N/A</v>
      </c>
      <c r="W109" s="412" t="e">
        <f>VLOOKUP('Templ-Cons'!R10,$D$3:$F$407,2,0)</f>
        <v>#N/A</v>
      </c>
      <c r="X109" s="412" t="e">
        <f>{#N/A}</f>
        <v>#N/A</v>
      </c>
      <c r="Y109" s="412" t="e">
        <f>{#N/A}</f>
        <v>#N/A</v>
      </c>
      <c r="Z109" s="412" t="e">
        <f>{#N/A}</f>
        <v>#N/A</v>
      </c>
      <c r="AA109" s="412"/>
      <c r="AB109" s="412"/>
      <c r="AC109" s="412"/>
      <c r="AD109" s="412"/>
    </row>
    <row r="110" spans="1:30">
      <c r="A110" s="412"/>
      <c r="B110" s="412"/>
      <c r="C110" s="412" t="str">
        <f>'Templ-Mats'!B12</f>
        <v>F10</v>
      </c>
      <c r="D110" s="412" t="str">
        <f>'Templ-Mats'!C12</f>
        <v>25mm stone</v>
      </c>
      <c r="E110" s="412" t="str">
        <f t="shared" si="7"/>
        <v>F10</v>
      </c>
      <c r="F110" s="418">
        <f t="shared" si="8"/>
        <v>8.0126182965299681E-3</v>
      </c>
      <c r="G110" s="412">
        <f>'Templ-Mats'!J12</f>
        <v>3.17</v>
      </c>
      <c r="H110" s="412">
        <f>'Templ-Mats'!G12</f>
        <v>25.4</v>
      </c>
      <c r="I110" s="412"/>
      <c r="J110" s="412"/>
      <c r="K110" s="412"/>
      <c r="L110" s="412"/>
      <c r="M110" s="412"/>
      <c r="N110" s="412"/>
      <c r="O110" s="412"/>
      <c r="P110" s="412"/>
      <c r="Q110" s="412"/>
      <c r="R110" s="412">
        <f t="shared" si="9"/>
        <v>6</v>
      </c>
      <c r="S110" s="412">
        <f>VLOOKUP('Templ-Cons'!J11,$D$3:$F$407,2,0)</f>
        <v>0</v>
      </c>
      <c r="T110" s="412">
        <f>VLOOKUP('Templ-Cons'!L11,$D$3:$F$407,2,0)</f>
        <v>0</v>
      </c>
      <c r="U110" s="412">
        <f>VLOOKUP('Templ-Cons'!N11,$D$3:$F$407,2,0)</f>
        <v>0</v>
      </c>
      <c r="V110" s="412" t="e">
        <f>VLOOKUP('Templ-Cons'!P11,$D$3:$F$407,2,0)</f>
        <v>#N/A</v>
      </c>
      <c r="W110" s="412" t="e">
        <f>VLOOKUP('Templ-Cons'!R11,$D$3:$F$407,2,0)</f>
        <v>#N/A</v>
      </c>
      <c r="X110" s="412" t="e">
        <f>{#N/A}</f>
        <v>#N/A</v>
      </c>
      <c r="Y110" s="412" t="e">
        <f>{#N/A}</f>
        <v>#N/A</v>
      </c>
      <c r="Z110" s="412" t="e">
        <f>{#N/A}</f>
        <v>#N/A</v>
      </c>
      <c r="AA110" s="412"/>
      <c r="AB110" s="412"/>
      <c r="AC110" s="412"/>
      <c r="AD110" s="412"/>
    </row>
    <row r="111" spans="1:30">
      <c r="A111" s="412"/>
      <c r="B111" s="412"/>
      <c r="C111" s="412" t="str">
        <f>'Templ-Mats'!B13</f>
        <v>F11</v>
      </c>
      <c r="D111" s="412" t="str">
        <f>'Templ-Mats'!C13</f>
        <v>Wood siding</v>
      </c>
      <c r="E111" s="412" t="str">
        <f t="shared" si="7"/>
        <v>F11</v>
      </c>
      <c r="F111" s="418">
        <f t="shared" si="8"/>
        <v>0.1411111111111111</v>
      </c>
      <c r="G111" s="412">
        <f>'Templ-Mats'!J13</f>
        <v>0.09</v>
      </c>
      <c r="H111" s="412">
        <f>'Templ-Mats'!G13</f>
        <v>12.7</v>
      </c>
      <c r="I111" s="412"/>
      <c r="J111" s="412"/>
      <c r="K111" s="412"/>
      <c r="L111" s="412"/>
      <c r="M111" s="412"/>
      <c r="N111" s="412"/>
      <c r="O111" s="412"/>
      <c r="P111" s="412"/>
      <c r="Q111" s="412"/>
      <c r="R111" s="412">
        <f t="shared" si="9"/>
        <v>7</v>
      </c>
      <c r="S111" s="412">
        <f>VLOOKUP('Templ-Cons'!J12,$D$3:$F$407,2,0)</f>
        <v>0</v>
      </c>
      <c r="T111" s="412">
        <f>VLOOKUP('Templ-Cons'!L12,$D$3:$F$407,2,0)</f>
        <v>0</v>
      </c>
      <c r="U111" s="412">
        <f>VLOOKUP('Templ-Cons'!N12,$D$3:$F$407,2,0)</f>
        <v>0</v>
      </c>
      <c r="V111" s="412" t="e">
        <f>VLOOKUP('Templ-Cons'!P12,$D$3:$F$407,2,0)</f>
        <v>#N/A</v>
      </c>
      <c r="W111" s="412" t="e">
        <f>VLOOKUP('Templ-Cons'!R12,$D$3:$F$407,2,0)</f>
        <v>#N/A</v>
      </c>
      <c r="X111" s="412" t="e">
        <f>{#N/A}</f>
        <v>#N/A</v>
      </c>
      <c r="Y111" s="412" t="e">
        <f>{#N/A}</f>
        <v>#N/A</v>
      </c>
      <c r="Z111" s="412" t="e">
        <f>{#N/A}</f>
        <v>#N/A</v>
      </c>
      <c r="AA111" s="412"/>
      <c r="AB111" s="412"/>
      <c r="AC111" s="412"/>
      <c r="AD111" s="412"/>
    </row>
    <row r="112" spans="1:30">
      <c r="A112" s="412"/>
      <c r="B112" s="412"/>
      <c r="C112" s="412" t="str">
        <f>'Templ-Mats'!B14</f>
        <v>F12</v>
      </c>
      <c r="D112" s="412" t="str">
        <f>'Templ-Mats'!C14</f>
        <v>Asphalt shingles</v>
      </c>
      <c r="E112" s="412" t="str">
        <f t="shared" si="7"/>
        <v>F12</v>
      </c>
      <c r="F112" s="418">
        <f t="shared" si="8"/>
        <v>0.08</v>
      </c>
      <c r="G112" s="412">
        <f>'Templ-Mats'!J14</f>
        <v>0.04</v>
      </c>
      <c r="H112" s="412">
        <f>'Templ-Mats'!G14</f>
        <v>3.2</v>
      </c>
      <c r="I112" s="412"/>
      <c r="J112" s="412"/>
      <c r="K112" s="412"/>
      <c r="L112" s="412"/>
      <c r="M112" s="412"/>
      <c r="N112" s="412"/>
      <c r="O112" s="412"/>
      <c r="P112" s="412"/>
      <c r="Q112" s="412"/>
      <c r="R112" s="412">
        <f t="shared" si="9"/>
        <v>8</v>
      </c>
      <c r="S112" s="412">
        <f>VLOOKUP('Templ-Cons'!J13,$D$3:$F$407,2,0)</f>
        <v>0</v>
      </c>
      <c r="T112" s="412">
        <f>VLOOKUP('Templ-Cons'!L13,$D$3:$F$407,2,0)</f>
        <v>0</v>
      </c>
      <c r="U112" s="412">
        <f>VLOOKUP('Templ-Cons'!N13,$D$3:$F$407,2,0)</f>
        <v>0</v>
      </c>
      <c r="V112" s="412" t="e">
        <f>VLOOKUP('Templ-Cons'!P13,$D$3:$F$407,2,0)</f>
        <v>#N/A</v>
      </c>
      <c r="W112" s="412" t="e">
        <f>VLOOKUP('Templ-Cons'!R13,$D$3:$F$407,2,0)</f>
        <v>#N/A</v>
      </c>
      <c r="X112" s="412" t="e">
        <f>{#N/A}</f>
        <v>#N/A</v>
      </c>
      <c r="Y112" s="412" t="e">
        <f>{#N/A}</f>
        <v>#N/A</v>
      </c>
      <c r="Z112" s="412" t="e">
        <f>{#N/A}</f>
        <v>#N/A</v>
      </c>
      <c r="AA112" s="412"/>
      <c r="AB112" s="412"/>
      <c r="AC112" s="412"/>
      <c r="AD112" s="412"/>
    </row>
    <row r="113" spans="1:30">
      <c r="A113" s="412"/>
      <c r="B113" s="412"/>
      <c r="C113" s="412" t="str">
        <f>'Templ-Mats'!B15</f>
        <v>F13</v>
      </c>
      <c r="D113" s="412" t="str">
        <f>'Templ-Mats'!C15</f>
        <v>Built-up roofing</v>
      </c>
      <c r="E113" s="412" t="str">
        <f t="shared" si="7"/>
        <v>F13</v>
      </c>
      <c r="F113" s="418">
        <f t="shared" si="8"/>
        <v>5.9374999999999997E-2</v>
      </c>
      <c r="G113" s="412">
        <f>'Templ-Mats'!J15</f>
        <v>0.16</v>
      </c>
      <c r="H113" s="412">
        <f>'Templ-Mats'!G15</f>
        <v>9.5</v>
      </c>
      <c r="I113" s="412"/>
      <c r="J113" s="412"/>
      <c r="K113" s="412"/>
      <c r="L113" s="412"/>
      <c r="M113" s="412"/>
      <c r="N113" s="412"/>
      <c r="O113" s="412"/>
      <c r="P113" s="412"/>
      <c r="Q113" s="412"/>
      <c r="R113" s="412">
        <f t="shared" si="9"/>
        <v>9</v>
      </c>
      <c r="S113" s="412">
        <f>VLOOKUP('Templ-Cons'!J14,$D$3:$F$407,2,0)</f>
        <v>0</v>
      </c>
      <c r="T113" s="412">
        <f>VLOOKUP('Templ-Cons'!L14,$D$3:$F$407,2,0)</f>
        <v>0</v>
      </c>
      <c r="U113" s="412">
        <f>VLOOKUP('Templ-Cons'!N14,$D$3:$F$407,2,0)</f>
        <v>0</v>
      </c>
      <c r="V113" s="412" t="e">
        <f>VLOOKUP('Templ-Cons'!P14,$D$3:$F$407,2,0)</f>
        <v>#N/A</v>
      </c>
      <c r="W113" s="412" t="e">
        <f>VLOOKUP('Templ-Cons'!R14,$D$3:$F$407,2,0)</f>
        <v>#N/A</v>
      </c>
      <c r="X113" s="412" t="e">
        <f>{#N/A}</f>
        <v>#N/A</v>
      </c>
      <c r="Y113" s="412" t="e">
        <f>{#N/A}</f>
        <v>#N/A</v>
      </c>
      <c r="Z113" s="412" t="e">
        <f>{#N/A}</f>
        <v>#N/A</v>
      </c>
      <c r="AA113" s="412"/>
      <c r="AB113" s="412"/>
      <c r="AC113" s="412"/>
      <c r="AD113" s="412"/>
    </row>
    <row r="114" spans="1:30">
      <c r="A114" s="412"/>
      <c r="B114" s="412"/>
      <c r="C114" s="412" t="str">
        <f>'Templ-Mats'!B16</f>
        <v>F14</v>
      </c>
      <c r="D114" s="412" t="str">
        <f>'Templ-Mats'!C16</f>
        <v>Slate or tile</v>
      </c>
      <c r="E114" s="412" t="str">
        <f t="shared" si="7"/>
        <v>F14</v>
      </c>
      <c r="F114" s="418">
        <f t="shared" si="8"/>
        <v>7.9874213836477973E-3</v>
      </c>
      <c r="G114" s="412">
        <f>'Templ-Mats'!J16</f>
        <v>1.59</v>
      </c>
      <c r="H114" s="412">
        <f>'Templ-Mats'!G16</f>
        <v>12.7</v>
      </c>
      <c r="I114" s="412"/>
      <c r="J114" s="412"/>
      <c r="K114" s="412"/>
      <c r="L114" s="412"/>
      <c r="M114" s="412"/>
      <c r="N114" s="412"/>
      <c r="O114" s="412"/>
      <c r="P114" s="412"/>
      <c r="Q114" s="412"/>
      <c r="R114" s="412">
        <f t="shared" si="9"/>
        <v>10</v>
      </c>
      <c r="S114" s="412">
        <f>VLOOKUP('Templ-Cons'!J15,$D$3:$F$407,2,0)</f>
        <v>0</v>
      </c>
      <c r="T114" s="412">
        <f>VLOOKUP('Templ-Cons'!L15,$D$3:$F$407,2,0)</f>
        <v>0</v>
      </c>
      <c r="U114" s="412">
        <f>VLOOKUP('Templ-Cons'!N15,$D$3:$F$407,2,0)</f>
        <v>0</v>
      </c>
      <c r="V114" s="412" t="e">
        <f>VLOOKUP('Templ-Cons'!P15,$D$3:$F$407,2,0)</f>
        <v>#N/A</v>
      </c>
      <c r="W114" s="412" t="e">
        <f>VLOOKUP('Templ-Cons'!R15,$D$3:$F$407,2,0)</f>
        <v>#N/A</v>
      </c>
      <c r="X114" s="412" t="e">
        <f>{#N/A}</f>
        <v>#N/A</v>
      </c>
      <c r="Y114" s="412" t="e">
        <f>{#N/A}</f>
        <v>#N/A</v>
      </c>
      <c r="Z114" s="412" t="e">
        <f>{#N/A}</f>
        <v>#N/A</v>
      </c>
      <c r="AA114" s="412"/>
      <c r="AB114" s="412"/>
      <c r="AC114" s="412"/>
      <c r="AD114" s="412"/>
    </row>
    <row r="115" spans="1:30">
      <c r="A115" s="412"/>
      <c r="B115" s="412"/>
      <c r="C115" s="412" t="str">
        <f>'Templ-Mats'!B17</f>
        <v>F15</v>
      </c>
      <c r="D115" s="412" t="str">
        <f>'Templ-Mats'!C17</f>
        <v>Wood shingles</v>
      </c>
      <c r="E115" s="412" t="str">
        <f t="shared" si="7"/>
        <v>F15</v>
      </c>
      <c r="F115" s="418">
        <f t="shared" si="8"/>
        <v>0.16</v>
      </c>
      <c r="G115" s="412">
        <f>'Templ-Mats'!J17</f>
        <v>0.04</v>
      </c>
      <c r="H115" s="412">
        <f>'Templ-Mats'!G17</f>
        <v>6.4</v>
      </c>
      <c r="I115" s="412"/>
      <c r="J115" s="412"/>
      <c r="K115" s="412"/>
      <c r="L115" s="412"/>
      <c r="M115" s="412"/>
      <c r="N115" s="412"/>
      <c r="O115" s="412"/>
      <c r="P115" s="412"/>
      <c r="Q115" s="412"/>
      <c r="R115" s="412">
        <f t="shared" si="9"/>
        <v>11</v>
      </c>
      <c r="S115" s="412">
        <f>VLOOKUP('Templ-Cons'!J16,$D$3:$F$407,2,0)</f>
        <v>0</v>
      </c>
      <c r="T115" s="412">
        <f>VLOOKUP('Templ-Cons'!L16,$D$3:$F$407,2,0)</f>
        <v>0</v>
      </c>
      <c r="U115" s="412">
        <f>VLOOKUP('Templ-Cons'!N16,$D$3:$F$407,2,0)</f>
        <v>0</v>
      </c>
      <c r="V115" s="412" t="e">
        <f>VLOOKUP('Templ-Cons'!P16,$D$3:$F$407,2,0)</f>
        <v>#N/A</v>
      </c>
      <c r="W115" s="412" t="e">
        <f>VLOOKUP('Templ-Cons'!R16,$D$3:$F$407,2,0)</f>
        <v>#N/A</v>
      </c>
      <c r="X115" s="412" t="e">
        <f>{#N/A}</f>
        <v>#N/A</v>
      </c>
      <c r="Y115" s="412" t="e">
        <f>{#N/A}</f>
        <v>#N/A</v>
      </c>
      <c r="Z115" s="412" t="e">
        <f>{#N/A}</f>
        <v>#N/A</v>
      </c>
      <c r="AA115" s="412"/>
      <c r="AB115" s="412"/>
      <c r="AC115" s="412"/>
      <c r="AD115" s="412"/>
    </row>
    <row r="116" spans="1:30">
      <c r="A116" s="412"/>
      <c r="B116" s="412"/>
      <c r="C116" s="412" t="str">
        <f>'Templ-Mats'!B18</f>
        <v>F16</v>
      </c>
      <c r="D116" s="412" t="str">
        <f>'Templ-Mats'!C18</f>
        <v>Acoustic tile</v>
      </c>
      <c r="E116" s="412" t="str">
        <f t="shared" si="7"/>
        <v>F16</v>
      </c>
      <c r="F116" s="418">
        <f t="shared" si="8"/>
        <v>0.31833333333333341</v>
      </c>
      <c r="G116" s="412">
        <f>'Templ-Mats'!J18</f>
        <v>0.06</v>
      </c>
      <c r="H116" s="412">
        <f>'Templ-Mats'!G18</f>
        <v>19.100000000000001</v>
      </c>
      <c r="I116" s="412"/>
      <c r="J116" s="412"/>
      <c r="K116" s="412"/>
      <c r="L116" s="412"/>
      <c r="M116" s="412"/>
      <c r="N116" s="412"/>
      <c r="O116" s="412"/>
      <c r="P116" s="412"/>
      <c r="Q116" s="412"/>
      <c r="R116" s="412">
        <f t="shared" si="9"/>
        <v>12</v>
      </c>
      <c r="S116" s="412">
        <f>VLOOKUP('Templ-Cons'!J17,$D$3:$F$407,2,0)</f>
        <v>0</v>
      </c>
      <c r="T116" s="412">
        <f>VLOOKUP('Templ-Cons'!L17,$D$3:$F$407,2,0)</f>
        <v>0</v>
      </c>
      <c r="U116" s="412">
        <f>VLOOKUP('Templ-Cons'!N17,$D$3:$F$407,2,0)</f>
        <v>0</v>
      </c>
      <c r="V116" s="412" t="e">
        <f>VLOOKUP('Templ-Cons'!P17,$D$3:$F$407,2,0)</f>
        <v>#N/A</v>
      </c>
      <c r="W116" s="412" t="e">
        <f>VLOOKUP('Templ-Cons'!R17,$D$3:$F$407,2,0)</f>
        <v>#N/A</v>
      </c>
      <c r="X116" s="412" t="e">
        <f>{#N/A}</f>
        <v>#N/A</v>
      </c>
      <c r="Y116" s="412" t="e">
        <f>{#N/A}</f>
        <v>#N/A</v>
      </c>
      <c r="Z116" s="412" t="e">
        <f>{#N/A}</f>
        <v>#N/A</v>
      </c>
      <c r="AA116" s="412"/>
      <c r="AB116" s="412"/>
      <c r="AC116" s="412"/>
      <c r="AD116" s="412"/>
    </row>
    <row r="117" spans="1:30">
      <c r="A117" s="412"/>
      <c r="B117" s="412"/>
      <c r="C117" s="412" t="str">
        <f>'Templ-Mats'!B19</f>
        <v>F17</v>
      </c>
      <c r="D117" s="412" t="str">
        <f>'Templ-Mats'!C19</f>
        <v>Carpet</v>
      </c>
      <c r="E117" s="412" t="str">
        <f t="shared" si="7"/>
        <v>F17</v>
      </c>
      <c r="F117" s="418">
        <f t="shared" si="8"/>
        <v>0.21166666666666667</v>
      </c>
      <c r="G117" s="412">
        <f>'Templ-Mats'!J19</f>
        <v>0.06</v>
      </c>
      <c r="H117" s="412">
        <f>'Templ-Mats'!G19</f>
        <v>12.7</v>
      </c>
      <c r="I117" s="412"/>
      <c r="J117" s="412"/>
      <c r="K117" s="412"/>
      <c r="L117" s="412"/>
      <c r="M117" s="412"/>
      <c r="N117" s="412"/>
      <c r="O117" s="412"/>
      <c r="P117" s="412"/>
      <c r="Q117" s="412"/>
      <c r="R117" s="412">
        <f t="shared" si="9"/>
        <v>13</v>
      </c>
      <c r="S117" s="412" t="str">
        <f>VLOOKUP('Templ-Cons'!J18,$D$3:$F$407,2,0)</f>
        <v>F08</v>
      </c>
      <c r="T117" s="412" t="str">
        <f>VLOOKUP('Templ-Cons'!L18,$D$3:$F$407,2,0)</f>
        <v>I02</v>
      </c>
      <c r="U117" s="412" t="str">
        <f>VLOOKUP('Templ-Cons'!N18,$D$3:$F$407,2,0)</f>
        <v>F04</v>
      </c>
      <c r="V117" s="412" t="str">
        <f>VLOOKUP('Templ-Cons'!P18,$D$3:$F$407,2,0)</f>
        <v>G01a</v>
      </c>
      <c r="W117" s="412" t="e">
        <f>VLOOKUP('Templ-Cons'!R18,$D$3:$F$407,2,0)</f>
        <v>#N/A</v>
      </c>
      <c r="X117" s="412" t="e">
        <f>{#N/A}</f>
        <v>#N/A</v>
      </c>
      <c r="Y117" s="412" t="e">
        <f>{#N/A}</f>
        <v>#N/A</v>
      </c>
      <c r="Z117" s="412" t="e">
        <f>{#N/A}</f>
        <v>#N/A</v>
      </c>
      <c r="AA117" s="412"/>
      <c r="AB117" s="412"/>
      <c r="AC117" s="412"/>
      <c r="AD117" s="412"/>
    </row>
    <row r="118" spans="1:30">
      <c r="A118" s="412"/>
      <c r="B118" s="412"/>
      <c r="C118" s="412" t="str">
        <f>'Templ-Mats'!B20</f>
        <v>F18</v>
      </c>
      <c r="D118" s="412" t="str">
        <f>'Templ-Mats'!C20</f>
        <v>Terrazzo</v>
      </c>
      <c r="E118" s="412" t="str">
        <f t="shared" si="7"/>
        <v>F18</v>
      </c>
      <c r="F118" s="418">
        <f t="shared" si="8"/>
        <v>1.4111111111111111E-2</v>
      </c>
      <c r="G118" s="412">
        <f>'Templ-Mats'!J20</f>
        <v>1.8</v>
      </c>
      <c r="H118" s="412">
        <f>'Templ-Mats'!G20</f>
        <v>25.4</v>
      </c>
      <c r="I118" s="412"/>
      <c r="J118" s="412"/>
      <c r="K118" s="412"/>
      <c r="L118" s="412"/>
      <c r="M118" s="412"/>
      <c r="N118" s="412"/>
      <c r="O118" s="412"/>
      <c r="P118" s="412"/>
      <c r="Q118" s="412"/>
      <c r="R118" s="412">
        <f t="shared" si="9"/>
        <v>14</v>
      </c>
      <c r="S118" s="412" t="str">
        <f>VLOOKUP('Templ-Cons'!J19,$D$3:$F$407,2,0)</f>
        <v>M11</v>
      </c>
      <c r="T118" s="412" t="str">
        <f>VLOOKUP('Templ-Cons'!L19,$D$3:$F$407,2,0)</f>
        <v>F05</v>
      </c>
      <c r="U118" s="412" t="str">
        <f>VLOOKUP('Templ-Cons'!N19,$D$3:$F$407,2,0)</f>
        <v>F16</v>
      </c>
      <c r="V118" s="412" t="e">
        <f>VLOOKUP('Templ-Cons'!P19,$D$3:$F$407,2,0)</f>
        <v>#N/A</v>
      </c>
      <c r="W118" s="412" t="e">
        <f>VLOOKUP('Templ-Cons'!R19,$D$3:$F$407,2,0)</f>
        <v>#N/A</v>
      </c>
      <c r="X118" s="412" t="e">
        <f>{#N/A}</f>
        <v>#N/A</v>
      </c>
      <c r="Y118" s="412" t="e">
        <f>{#N/A}</f>
        <v>#N/A</v>
      </c>
      <c r="Z118" s="412" t="e">
        <f>{#N/A}</f>
        <v>#N/A</v>
      </c>
      <c r="AA118" s="412"/>
      <c r="AB118" s="412"/>
      <c r="AC118" s="412"/>
      <c r="AD118" s="412"/>
    </row>
    <row r="119" spans="1:30">
      <c r="A119" s="412"/>
      <c r="B119" s="412"/>
      <c r="C119" s="412" t="str">
        <f>'Templ-Mats'!B21</f>
        <v>G01</v>
      </c>
      <c r="D119" s="412" t="str">
        <f>'Templ-Mats'!C21</f>
        <v>16mm gypsum board</v>
      </c>
      <c r="E119" s="412" t="str">
        <f t="shared" si="7"/>
        <v>G01</v>
      </c>
      <c r="F119" s="418">
        <f t="shared" si="8"/>
        <v>9.9375000000000005E-2</v>
      </c>
      <c r="G119" s="412">
        <f>'Templ-Mats'!J21</f>
        <v>0.16</v>
      </c>
      <c r="H119" s="412">
        <f>'Templ-Mats'!G21</f>
        <v>15.9</v>
      </c>
      <c r="I119" s="412"/>
      <c r="J119" s="412"/>
      <c r="K119" s="412"/>
      <c r="L119" s="412"/>
      <c r="M119" s="412"/>
      <c r="N119" s="412"/>
      <c r="O119" s="412"/>
      <c r="P119" s="412"/>
      <c r="Q119" s="412"/>
      <c r="R119" s="412">
        <f t="shared" si="9"/>
        <v>15</v>
      </c>
      <c r="S119" s="412" t="str">
        <f>VLOOKUP('Templ-Cons'!J20,$D$3:$F$407,2,0)</f>
        <v>G01a</v>
      </c>
      <c r="T119" s="412" t="str">
        <f>VLOOKUP('Templ-Cons'!L20,$D$3:$F$407,2,0)</f>
        <v>F04</v>
      </c>
      <c r="U119" s="412" t="str">
        <f>VLOOKUP('Templ-Cons'!N20,$D$3:$F$407,2,0)</f>
        <v>G01a</v>
      </c>
      <c r="V119" s="412" t="e">
        <f>VLOOKUP('Templ-Cons'!P20,$D$3:$F$407,2,0)</f>
        <v>#N/A</v>
      </c>
      <c r="W119" s="412" t="e">
        <f>VLOOKUP('Templ-Cons'!R20,$D$3:$F$407,2,0)</f>
        <v>#N/A</v>
      </c>
      <c r="X119" s="412" t="e">
        <f>{#N/A}</f>
        <v>#N/A</v>
      </c>
      <c r="Y119" s="412" t="e">
        <f>{#N/A}</f>
        <v>#N/A</v>
      </c>
      <c r="Z119" s="412" t="e">
        <f>{#N/A}</f>
        <v>#N/A</v>
      </c>
      <c r="AA119" s="412"/>
      <c r="AB119" s="412"/>
      <c r="AC119" s="412"/>
      <c r="AD119" s="412"/>
    </row>
    <row r="120" spans="1:30">
      <c r="A120" s="412"/>
      <c r="B120" s="412"/>
      <c r="C120" s="412" t="str">
        <f>'Templ-Mats'!B22</f>
        <v>G01a</v>
      </c>
      <c r="D120" s="412" t="str">
        <f>'Templ-Mats'!C22</f>
        <v>19mm gypsum board</v>
      </c>
      <c r="E120" s="412" t="str">
        <f t="shared" si="7"/>
        <v>G01a</v>
      </c>
      <c r="F120" s="418">
        <f t="shared" si="8"/>
        <v>0.11874999999999999</v>
      </c>
      <c r="G120" s="412">
        <f>'Templ-Mats'!J22</f>
        <v>0.16</v>
      </c>
      <c r="H120" s="412">
        <f>'Templ-Mats'!G22</f>
        <v>19</v>
      </c>
      <c r="I120" s="412"/>
      <c r="J120" s="412"/>
      <c r="K120" s="412"/>
      <c r="L120" s="412"/>
      <c r="M120" s="412"/>
      <c r="N120" s="412"/>
      <c r="O120" s="412"/>
      <c r="P120" s="412"/>
      <c r="Q120" s="412"/>
      <c r="R120" s="412">
        <f t="shared" si="9"/>
        <v>16</v>
      </c>
      <c r="S120" s="412" t="str">
        <f>VLOOKUP('Templ-Cons'!J21,$D$3:$F$407,2,0)</f>
        <v>F16</v>
      </c>
      <c r="T120" s="412" t="str">
        <f>VLOOKUP('Templ-Cons'!L21,$D$3:$F$407,2,0)</f>
        <v>F05</v>
      </c>
      <c r="U120" s="412" t="str">
        <f>VLOOKUP('Templ-Cons'!N21,$D$3:$F$407,2,0)</f>
        <v>M11</v>
      </c>
      <c r="V120" s="412" t="e">
        <f>VLOOKUP('Templ-Cons'!P21,$D$3:$F$407,2,0)</f>
        <v>#N/A</v>
      </c>
      <c r="W120" s="412" t="e">
        <f>VLOOKUP('Templ-Cons'!R21,$D$3:$F$407,2,0)</f>
        <v>#N/A</v>
      </c>
      <c r="X120" s="412" t="e">
        <f>{#N/A}</f>
        <v>#N/A</v>
      </c>
      <c r="Y120" s="412" t="e">
        <f>{#N/A}</f>
        <v>#N/A</v>
      </c>
      <c r="Z120" s="412" t="e">
        <f>{#N/A}</f>
        <v>#N/A</v>
      </c>
      <c r="AA120" s="412"/>
      <c r="AB120" s="412"/>
      <c r="AC120" s="412"/>
      <c r="AD120" s="412"/>
    </row>
    <row r="121" spans="1:30">
      <c r="A121" s="412"/>
      <c r="B121" s="412"/>
      <c r="C121" s="412" t="str">
        <f>'Templ-Mats'!B23</f>
        <v>G02</v>
      </c>
      <c r="D121" s="412" t="str">
        <f>'Templ-Mats'!C23</f>
        <v>16mm plywood</v>
      </c>
      <c r="E121" s="412" t="str">
        <f t="shared" si="7"/>
        <v>G02</v>
      </c>
      <c r="F121" s="418">
        <f t="shared" si="8"/>
        <v>0.13250000000000001</v>
      </c>
      <c r="G121" s="412">
        <f>'Templ-Mats'!J23</f>
        <v>0.12</v>
      </c>
      <c r="H121" s="412">
        <f>'Templ-Mats'!G23</f>
        <v>15.9</v>
      </c>
      <c r="I121" s="412"/>
      <c r="J121" s="412"/>
      <c r="K121" s="412"/>
      <c r="L121" s="412"/>
      <c r="M121" s="412"/>
      <c r="N121" s="412"/>
      <c r="O121" s="412"/>
      <c r="P121" s="412"/>
      <c r="Q121" s="412"/>
      <c r="R121" s="412">
        <f t="shared" si="9"/>
        <v>17</v>
      </c>
      <c r="S121" s="412" t="str">
        <f>VLOOKUP('Templ-Cons'!J22,$D$3:$F$407,2,0)</f>
        <v>G05</v>
      </c>
      <c r="T121" s="412" t="e">
        <f>VLOOKUP('Templ-Cons'!L22,$D$3:$F$407,2,0)</f>
        <v>#N/A</v>
      </c>
      <c r="U121" s="412" t="e">
        <f>VLOOKUP('Templ-Cons'!N22,$D$3:$F$407,2,0)</f>
        <v>#N/A</v>
      </c>
      <c r="V121" s="412" t="e">
        <f>VLOOKUP('Templ-Cons'!P22,$D$3:$F$407,2,0)</f>
        <v>#N/A</v>
      </c>
      <c r="W121" s="412" t="e">
        <f>VLOOKUP('Templ-Cons'!R22,$D$3:$F$407,2,0)</f>
        <v>#N/A</v>
      </c>
      <c r="X121" s="412" t="e">
        <f>{#N/A}</f>
        <v>#N/A</v>
      </c>
      <c r="Y121" s="412" t="e">
        <f>{#N/A}</f>
        <v>#N/A</v>
      </c>
      <c r="Z121" s="412" t="e">
        <f>{#N/A}</f>
        <v>#N/A</v>
      </c>
      <c r="AA121" s="412"/>
      <c r="AB121" s="412"/>
      <c r="AC121" s="412"/>
      <c r="AD121" s="412"/>
    </row>
    <row r="122" spans="1:30">
      <c r="A122" s="412"/>
      <c r="B122" s="412"/>
      <c r="C122" s="412" t="str">
        <f>'Templ-Mats'!B24</f>
        <v>G02</v>
      </c>
      <c r="D122" s="412" t="str">
        <f>'Templ-Mats'!C24</f>
        <v>16mm plywood</v>
      </c>
      <c r="E122" s="412" t="str">
        <f t="shared" si="7"/>
        <v>G02</v>
      </c>
      <c r="F122" s="418">
        <f t="shared" si="8"/>
        <v>0.13250000000000001</v>
      </c>
      <c r="G122" s="412">
        <f>'Templ-Mats'!J24</f>
        <v>0.12</v>
      </c>
      <c r="H122" s="412">
        <f>'Templ-Mats'!G24</f>
        <v>15.9</v>
      </c>
      <c r="I122" s="412"/>
      <c r="J122" s="412"/>
      <c r="K122" s="412"/>
      <c r="L122" s="412"/>
      <c r="M122" s="412"/>
      <c r="N122" s="412"/>
      <c r="O122" s="412"/>
      <c r="P122" s="412"/>
      <c r="Q122" s="412"/>
      <c r="R122" s="412">
        <f t="shared" si="9"/>
        <v>18</v>
      </c>
      <c r="S122" s="412" t="str">
        <f>VLOOKUP('Templ-Cons'!J23,$D$3:$F$407,2,0)</f>
        <v>M01</v>
      </c>
      <c r="T122" s="412" t="str">
        <f>VLOOKUP('Templ-Cons'!L23,$D$3:$F$407,2,0)</f>
        <v>I02</v>
      </c>
      <c r="U122" s="412" t="str">
        <f>VLOOKUP('Templ-Cons'!N23,$D$3:$F$407,2,0)</f>
        <v>F04</v>
      </c>
      <c r="V122" s="412" t="str">
        <f>VLOOKUP('Templ-Cons'!P23,$D$3:$F$407,2,0)</f>
        <v>G01a</v>
      </c>
      <c r="W122" s="412" t="e">
        <f>VLOOKUP('Templ-Cons'!R23,$D$3:$F$407,2,0)</f>
        <v>#N/A</v>
      </c>
      <c r="X122" s="412" t="e">
        <f>{#N/A}</f>
        <v>#N/A</v>
      </c>
      <c r="Y122" s="412" t="e">
        <f>{#N/A}</f>
        <v>#N/A</v>
      </c>
      <c r="Z122" s="412" t="e">
        <f>{#N/A}</f>
        <v>#N/A</v>
      </c>
      <c r="AA122" s="412"/>
      <c r="AB122" s="412"/>
      <c r="AC122" s="412"/>
      <c r="AD122" s="412"/>
    </row>
    <row r="123" spans="1:30">
      <c r="A123" s="412"/>
      <c r="B123" s="412"/>
      <c r="C123" s="412" t="str">
        <f>'Templ-Mats'!B25</f>
        <v>G03</v>
      </c>
      <c r="D123" s="412" t="str">
        <f>'Templ-Mats'!C25</f>
        <v>13mm fiberboard sheathing</v>
      </c>
      <c r="E123" s="412" t="str">
        <f t="shared" si="7"/>
        <v>G03</v>
      </c>
      <c r="F123" s="418">
        <f t="shared" si="8"/>
        <v>0.18142857142857141</v>
      </c>
      <c r="G123" s="412">
        <f>'Templ-Mats'!J25</f>
        <v>7.0000000000000007E-2</v>
      </c>
      <c r="H123" s="412">
        <f>'Templ-Mats'!G25</f>
        <v>12.7</v>
      </c>
      <c r="I123" s="412"/>
      <c r="J123" s="412"/>
      <c r="K123" s="412"/>
      <c r="L123" s="412"/>
      <c r="M123" s="412"/>
      <c r="N123" s="412"/>
      <c r="O123" s="412"/>
      <c r="P123" s="412"/>
      <c r="Q123" s="412"/>
      <c r="R123" s="412">
        <f t="shared" si="9"/>
        <v>19</v>
      </c>
      <c r="S123" s="412" t="str">
        <f>VLOOKUP('Templ-Cons'!J24,$D$3:$F$407,2,0)</f>
        <v>M14a</v>
      </c>
      <c r="T123" s="412" t="str">
        <f>VLOOKUP('Templ-Cons'!L24,$D$3:$F$407,2,0)</f>
        <v>F05</v>
      </c>
      <c r="U123" s="412" t="str">
        <f>VLOOKUP('Templ-Cons'!N24,$D$3:$F$407,2,0)</f>
        <v>F16</v>
      </c>
      <c r="V123" s="412" t="e">
        <f>VLOOKUP('Templ-Cons'!P24,$D$3:$F$407,2,0)</f>
        <v>#N/A</v>
      </c>
      <c r="W123" s="412" t="e">
        <f>VLOOKUP('Templ-Cons'!R24,$D$3:$F$407,2,0)</f>
        <v>#N/A</v>
      </c>
      <c r="X123" s="412" t="e">
        <f>{#N/A}</f>
        <v>#N/A</v>
      </c>
      <c r="Y123" s="412" t="e">
        <f>{#N/A}</f>
        <v>#N/A</v>
      </c>
      <c r="Z123" s="412" t="e">
        <f>{#N/A}</f>
        <v>#N/A</v>
      </c>
      <c r="AA123" s="412"/>
      <c r="AB123" s="412"/>
      <c r="AC123" s="412"/>
      <c r="AD123" s="412"/>
    </row>
    <row r="124" spans="1:30">
      <c r="A124" s="412"/>
      <c r="B124" s="412"/>
      <c r="C124" s="412" t="str">
        <f>'Templ-Mats'!B26</f>
        <v>G04</v>
      </c>
      <c r="D124" s="412" t="str">
        <f>'Templ-Mats'!C26</f>
        <v>13mm wood</v>
      </c>
      <c r="E124" s="412" t="str">
        <f t="shared" si="7"/>
        <v>G04</v>
      </c>
      <c r="F124" s="418">
        <f t="shared" si="8"/>
        <v>8.4666666666666668E-2</v>
      </c>
      <c r="G124" s="412">
        <f>'Templ-Mats'!J26</f>
        <v>0.15</v>
      </c>
      <c r="H124" s="412">
        <f>'Templ-Mats'!G26</f>
        <v>12.7</v>
      </c>
      <c r="I124" s="412"/>
      <c r="J124" s="412"/>
      <c r="K124" s="412"/>
      <c r="L124" s="412"/>
      <c r="M124" s="412"/>
      <c r="N124" s="412"/>
      <c r="O124" s="412"/>
      <c r="P124" s="412"/>
      <c r="Q124" s="412"/>
      <c r="R124" s="412">
        <f t="shared" si="9"/>
        <v>20</v>
      </c>
      <c r="S124" s="412" t="str">
        <f>VLOOKUP('Templ-Cons'!J25,$D$3:$F$407,2,0)</f>
        <v>G01a</v>
      </c>
      <c r="T124" s="412" t="str">
        <f>VLOOKUP('Templ-Cons'!L25,$D$3:$F$407,2,0)</f>
        <v>F04</v>
      </c>
      <c r="U124" s="412" t="str">
        <f>VLOOKUP('Templ-Cons'!N25,$D$3:$F$407,2,0)</f>
        <v>G01a</v>
      </c>
      <c r="V124" s="412" t="e">
        <f>VLOOKUP('Templ-Cons'!P25,$D$3:$F$407,2,0)</f>
        <v>#N/A</v>
      </c>
      <c r="W124" s="412" t="e">
        <f>VLOOKUP('Templ-Cons'!R25,$D$3:$F$407,2,0)</f>
        <v>#N/A</v>
      </c>
      <c r="X124" s="412" t="e">
        <f>{#N/A}</f>
        <v>#N/A</v>
      </c>
      <c r="Y124" s="412" t="e">
        <f>{#N/A}</f>
        <v>#N/A</v>
      </c>
      <c r="Z124" s="412" t="e">
        <f>{#N/A}</f>
        <v>#N/A</v>
      </c>
      <c r="AA124" s="412"/>
      <c r="AB124" s="412"/>
      <c r="AC124" s="412"/>
      <c r="AD124" s="412"/>
    </row>
    <row r="125" spans="1:30">
      <c r="A125" s="412"/>
      <c r="B125" s="412"/>
      <c r="C125" s="412" t="str">
        <f>'Templ-Mats'!B27</f>
        <v>G05</v>
      </c>
      <c r="D125" s="412" t="str">
        <f>'Templ-Mats'!C27</f>
        <v>25mm wood</v>
      </c>
      <c r="E125" s="412" t="str">
        <f t="shared" si="7"/>
        <v>G05</v>
      </c>
      <c r="F125" s="418">
        <f t="shared" si="8"/>
        <v>0.16933333333333334</v>
      </c>
      <c r="G125" s="412">
        <f>'Templ-Mats'!J27</f>
        <v>0.15</v>
      </c>
      <c r="H125" s="412">
        <f>'Templ-Mats'!G27</f>
        <v>25.4</v>
      </c>
      <c r="I125" s="412"/>
      <c r="J125" s="412"/>
      <c r="K125" s="412"/>
      <c r="L125" s="412"/>
      <c r="M125" s="412"/>
      <c r="N125" s="412"/>
      <c r="O125" s="412"/>
      <c r="P125" s="412"/>
      <c r="Q125" s="412"/>
      <c r="R125" s="412">
        <f t="shared" si="9"/>
        <v>21</v>
      </c>
      <c r="S125" s="412" t="str">
        <f>VLOOKUP('Templ-Cons'!J26,$D$3:$F$407,2,0)</f>
        <v>F16</v>
      </c>
      <c r="T125" s="412" t="str">
        <f>VLOOKUP('Templ-Cons'!L26,$D$3:$F$407,2,0)</f>
        <v>F05</v>
      </c>
      <c r="U125" s="412" t="str">
        <f>VLOOKUP('Templ-Cons'!N26,$D$3:$F$407,2,0)</f>
        <v>M14a</v>
      </c>
      <c r="V125" s="412" t="e">
        <f>VLOOKUP('Templ-Cons'!P26,$D$3:$F$407,2,0)</f>
        <v>#N/A</v>
      </c>
      <c r="W125" s="412" t="e">
        <f>VLOOKUP('Templ-Cons'!R26,$D$3:$F$407,2,0)</f>
        <v>#N/A</v>
      </c>
      <c r="X125" s="412" t="e">
        <f>{#N/A}</f>
        <v>#N/A</v>
      </c>
      <c r="Y125" s="412" t="e">
        <f>{#N/A}</f>
        <v>#N/A</v>
      </c>
      <c r="Z125" s="412" t="e">
        <f>{#N/A}</f>
        <v>#N/A</v>
      </c>
      <c r="AA125" s="412"/>
      <c r="AB125" s="412"/>
      <c r="AC125" s="412"/>
      <c r="AD125" s="412"/>
    </row>
    <row r="126" spans="1:30">
      <c r="A126" s="412"/>
      <c r="B126" s="412"/>
      <c r="C126" s="412" t="str">
        <f>'Templ-Mats'!B28</f>
        <v>G06</v>
      </c>
      <c r="D126" s="412" t="str">
        <f>'Templ-Mats'!C28</f>
        <v>50mm wood</v>
      </c>
      <c r="E126" s="412" t="str">
        <f t="shared" si="7"/>
        <v>G06</v>
      </c>
      <c r="F126" s="418">
        <f t="shared" si="8"/>
        <v>0.33866666666666667</v>
      </c>
      <c r="G126" s="412">
        <f>'Templ-Mats'!J28</f>
        <v>0.15</v>
      </c>
      <c r="H126" s="412">
        <f>'Templ-Mats'!G28</f>
        <v>50.8</v>
      </c>
      <c r="I126" s="412"/>
      <c r="J126" s="412"/>
      <c r="K126" s="412"/>
      <c r="L126" s="412"/>
      <c r="M126" s="412"/>
      <c r="N126" s="412"/>
      <c r="O126" s="412"/>
      <c r="P126" s="412"/>
      <c r="Q126" s="412"/>
      <c r="R126" s="412">
        <f t="shared" si="9"/>
        <v>22</v>
      </c>
      <c r="S126" s="412" t="str">
        <f>VLOOKUP('Templ-Cons'!J27,$D$3:$F$407,2,0)</f>
        <v>G05</v>
      </c>
      <c r="T126" s="412" t="e">
        <f>VLOOKUP('Templ-Cons'!L27,$D$3:$F$407,2,0)</f>
        <v>#N/A</v>
      </c>
      <c r="U126" s="412" t="e">
        <f>VLOOKUP('Templ-Cons'!N27,$D$3:$F$407,2,0)</f>
        <v>#N/A</v>
      </c>
      <c r="V126" s="412" t="e">
        <f>VLOOKUP('Templ-Cons'!P27,$D$3:$F$407,2,0)</f>
        <v>#N/A</v>
      </c>
      <c r="W126" s="412" t="e">
        <f>VLOOKUP('Templ-Cons'!R27,$D$3:$F$407,2,0)</f>
        <v>#N/A</v>
      </c>
      <c r="X126" s="412" t="e">
        <f>{#N/A}</f>
        <v>#N/A</v>
      </c>
      <c r="Y126" s="412" t="e">
        <f>{#N/A}</f>
        <v>#N/A</v>
      </c>
      <c r="Z126" s="412" t="e">
        <f>{#N/A}</f>
        <v>#N/A</v>
      </c>
      <c r="AA126" s="412"/>
      <c r="AB126" s="412"/>
      <c r="AC126" s="412"/>
      <c r="AD126" s="412"/>
    </row>
    <row r="127" spans="1:30">
      <c r="A127" s="412"/>
      <c r="B127" s="412"/>
      <c r="C127" s="412" t="str">
        <f>'Templ-Mats'!B29</f>
        <v>G07</v>
      </c>
      <c r="D127" s="412" t="str">
        <f>'Templ-Mats'!C29</f>
        <v>100mm wood</v>
      </c>
      <c r="E127" s="412" t="str">
        <f t="shared" si="7"/>
        <v>G07</v>
      </c>
      <c r="F127" s="418">
        <f t="shared" si="8"/>
        <v>0.67733333333333334</v>
      </c>
      <c r="G127" s="412">
        <f>'Templ-Mats'!J29</f>
        <v>0.15</v>
      </c>
      <c r="H127" s="412">
        <f>'Templ-Mats'!G29</f>
        <v>101.6</v>
      </c>
      <c r="I127" s="412"/>
      <c r="J127" s="412"/>
      <c r="K127" s="412"/>
      <c r="L127" s="412"/>
      <c r="M127" s="412"/>
      <c r="N127" s="412"/>
      <c r="O127" s="412"/>
      <c r="P127" s="412"/>
      <c r="Q127" s="412"/>
      <c r="R127" s="412">
        <f t="shared" si="9"/>
        <v>23</v>
      </c>
      <c r="S127" s="412" t="str">
        <f>VLOOKUP('Templ-Cons'!J28,$D$3:$F$407,2,0)</f>
        <v>M01</v>
      </c>
      <c r="T127" s="412" t="str">
        <f>VLOOKUP('Templ-Cons'!L28,$D$3:$F$407,2,0)</f>
        <v>M15</v>
      </c>
      <c r="U127" s="412" t="str">
        <f>VLOOKUP('Templ-Cons'!N28,$D$3:$F$407,2,0)</f>
        <v>I02</v>
      </c>
      <c r="V127" s="412" t="str">
        <f>VLOOKUP('Templ-Cons'!P28,$D$3:$F$407,2,0)</f>
        <v>F04</v>
      </c>
      <c r="W127" s="412" t="str">
        <f>VLOOKUP('Templ-Cons'!R28,$D$3:$F$407,2,0)</f>
        <v>G01a</v>
      </c>
      <c r="X127" s="412" t="e">
        <f>{#N/A}</f>
        <v>#N/A</v>
      </c>
      <c r="Y127" s="412" t="e">
        <f>{#N/A}</f>
        <v>#N/A</v>
      </c>
      <c r="Z127" s="412" t="e">
        <f>{#N/A}</f>
        <v>#N/A</v>
      </c>
      <c r="AA127" s="412"/>
      <c r="AB127" s="412"/>
      <c r="AC127" s="412"/>
      <c r="AD127" s="412"/>
    </row>
    <row r="128" spans="1:30">
      <c r="A128" s="412"/>
      <c r="B128" s="412"/>
      <c r="C128" s="412" t="str">
        <f>'Templ-Mats'!B30</f>
        <v>I01</v>
      </c>
      <c r="D128" s="412" t="str">
        <f>'Templ-Mats'!C30</f>
        <v>25mm insulation board</v>
      </c>
      <c r="E128" s="412" t="str">
        <f t="shared" si="7"/>
        <v>I01</v>
      </c>
      <c r="F128" s="418">
        <f t="shared" si="8"/>
        <v>0.84666666666666668</v>
      </c>
      <c r="G128" s="412">
        <f>'Templ-Mats'!J30</f>
        <v>0.03</v>
      </c>
      <c r="H128" s="412">
        <f>'Templ-Mats'!G30</f>
        <v>25.4</v>
      </c>
      <c r="I128" s="412"/>
      <c r="J128" s="412"/>
      <c r="K128" s="412"/>
      <c r="L128" s="412"/>
      <c r="M128" s="412"/>
      <c r="N128" s="412"/>
      <c r="O128" s="412"/>
      <c r="P128" s="412"/>
      <c r="Q128" s="412"/>
      <c r="R128" s="412">
        <f t="shared" si="9"/>
        <v>24</v>
      </c>
      <c r="S128" s="412" t="str">
        <f>VLOOKUP('Templ-Cons'!J29,$D$3:$F$407,2,0)</f>
        <v>M15</v>
      </c>
      <c r="T128" s="412" t="str">
        <f>VLOOKUP('Templ-Cons'!L29,$D$3:$F$407,2,0)</f>
        <v>F05</v>
      </c>
      <c r="U128" s="412" t="str">
        <f>VLOOKUP('Templ-Cons'!N29,$D$3:$F$407,2,0)</f>
        <v>F16</v>
      </c>
      <c r="V128" s="412" t="e">
        <f>VLOOKUP('Templ-Cons'!P29,$D$3:$F$407,2,0)</f>
        <v>#N/A</v>
      </c>
      <c r="W128" s="412" t="e">
        <f>VLOOKUP('Templ-Cons'!R29,$D$3:$F$407,2,0)</f>
        <v>#N/A</v>
      </c>
      <c r="X128" s="412" t="e">
        <f>{#N/A}</f>
        <v>#N/A</v>
      </c>
      <c r="Y128" s="412" t="e">
        <f>{#N/A}</f>
        <v>#N/A</v>
      </c>
      <c r="Z128" s="412" t="e">
        <f>{#N/A}</f>
        <v>#N/A</v>
      </c>
      <c r="AA128" s="412"/>
      <c r="AB128" s="412"/>
      <c r="AC128" s="412"/>
      <c r="AD128" s="412"/>
    </row>
    <row r="129" spans="1:30">
      <c r="A129" s="412"/>
      <c r="B129" s="412"/>
      <c r="C129" s="412" t="str">
        <f>'Templ-Mats'!B31</f>
        <v>I02</v>
      </c>
      <c r="D129" s="412" t="str">
        <f>'Templ-Mats'!C31</f>
        <v>50mm insulation board</v>
      </c>
      <c r="E129" s="412" t="str">
        <f t="shared" si="7"/>
        <v>I02</v>
      </c>
      <c r="F129" s="418">
        <f t="shared" si="8"/>
        <v>1.6933333333333334</v>
      </c>
      <c r="G129" s="412">
        <f>'Templ-Mats'!J31</f>
        <v>0.03</v>
      </c>
      <c r="H129" s="412">
        <f>'Templ-Mats'!G31</f>
        <v>50.8</v>
      </c>
      <c r="I129" s="412"/>
      <c r="J129" s="412"/>
      <c r="K129" s="412"/>
      <c r="L129" s="412"/>
      <c r="M129" s="412"/>
      <c r="N129" s="412"/>
      <c r="O129" s="412"/>
      <c r="P129" s="412"/>
      <c r="Q129" s="412"/>
      <c r="R129" s="412">
        <f t="shared" si="9"/>
        <v>25</v>
      </c>
      <c r="S129" s="412" t="str">
        <f>VLOOKUP('Templ-Cons'!J30,$D$3:$F$407,2,0)</f>
        <v>G01a</v>
      </c>
      <c r="T129" s="412" t="str">
        <f>VLOOKUP('Templ-Cons'!L30,$D$3:$F$407,2,0)</f>
        <v>M05</v>
      </c>
      <c r="U129" s="412" t="str">
        <f>VLOOKUP('Templ-Cons'!N30,$D$3:$F$407,2,0)</f>
        <v>G01a</v>
      </c>
      <c r="V129" s="412" t="e">
        <f>VLOOKUP('Templ-Cons'!P30,$D$3:$F$407,2,0)</f>
        <v>#N/A</v>
      </c>
      <c r="W129" s="412" t="e">
        <f>VLOOKUP('Templ-Cons'!R30,$D$3:$F$407,2,0)</f>
        <v>#N/A</v>
      </c>
      <c r="X129" s="412" t="e">
        <f>{#N/A}</f>
        <v>#N/A</v>
      </c>
      <c r="Y129" s="412" t="e">
        <f>{#N/A}</f>
        <v>#N/A</v>
      </c>
      <c r="Z129" s="412" t="e">
        <f>{#N/A}</f>
        <v>#N/A</v>
      </c>
      <c r="AA129" s="412"/>
      <c r="AB129" s="412"/>
      <c r="AC129" s="412"/>
      <c r="AD129" s="412"/>
    </row>
    <row r="130" spans="1:30">
      <c r="A130" s="412"/>
      <c r="B130" s="412"/>
      <c r="C130" s="412" t="str">
        <f>'Templ-Mats'!B32</f>
        <v>I03</v>
      </c>
      <c r="D130" s="412" t="str">
        <f>'Templ-Mats'!C32</f>
        <v>75mm insulation board</v>
      </c>
      <c r="E130" s="412" t="str">
        <f t="shared" si="7"/>
        <v>I03</v>
      </c>
      <c r="F130" s="418">
        <f t="shared" si="8"/>
        <v>2.54</v>
      </c>
      <c r="G130" s="412">
        <f>'Templ-Mats'!J32</f>
        <v>0.03</v>
      </c>
      <c r="H130" s="412">
        <f>'Templ-Mats'!G32</f>
        <v>76.2</v>
      </c>
      <c r="I130" s="412"/>
      <c r="J130" s="412"/>
      <c r="K130" s="412"/>
      <c r="L130" s="412"/>
      <c r="M130" s="412"/>
      <c r="N130" s="412"/>
      <c r="O130" s="412"/>
      <c r="P130" s="412"/>
      <c r="Q130" s="412"/>
      <c r="R130" s="412">
        <f t="shared" si="9"/>
        <v>26</v>
      </c>
      <c r="S130" s="412" t="str">
        <f>VLOOKUP('Templ-Cons'!J31,$D$3:$F$407,2,0)</f>
        <v>F16</v>
      </c>
      <c r="T130" s="412" t="str">
        <f>VLOOKUP('Templ-Cons'!L31,$D$3:$F$407,2,0)</f>
        <v>F05</v>
      </c>
      <c r="U130" s="412" t="str">
        <f>VLOOKUP('Templ-Cons'!N31,$D$3:$F$407,2,0)</f>
        <v>M15</v>
      </c>
      <c r="V130" s="412" t="e">
        <f>VLOOKUP('Templ-Cons'!P31,$D$3:$F$407,2,0)</f>
        <v>#N/A</v>
      </c>
      <c r="W130" s="412" t="e">
        <f>VLOOKUP('Templ-Cons'!R31,$D$3:$F$407,2,0)</f>
        <v>#N/A</v>
      </c>
      <c r="X130" s="412" t="e">
        <f>{#N/A}</f>
        <v>#N/A</v>
      </c>
      <c r="Y130" s="412" t="e">
        <f>{#N/A}</f>
        <v>#N/A</v>
      </c>
      <c r="Z130" s="412" t="e">
        <f>{#N/A}</f>
        <v>#N/A</v>
      </c>
      <c r="AA130" s="412"/>
      <c r="AB130" s="412"/>
      <c r="AC130" s="412"/>
      <c r="AD130" s="412"/>
    </row>
    <row r="131" spans="1:30">
      <c r="A131" s="412"/>
      <c r="B131" s="412"/>
      <c r="C131" s="412" t="str">
        <f>'Templ-Mats'!B33</f>
        <v>I04</v>
      </c>
      <c r="D131" s="412" t="str">
        <f>'Templ-Mats'!C33</f>
        <v>89mm batt insulation</v>
      </c>
      <c r="E131" s="412" t="str">
        <f t="shared" si="7"/>
        <v>I04</v>
      </c>
      <c r="F131" s="418">
        <f t="shared" si="8"/>
        <v>1.788</v>
      </c>
      <c r="G131" s="412">
        <f>'Templ-Mats'!J33</f>
        <v>0.05</v>
      </c>
      <c r="H131" s="412">
        <f>'Templ-Mats'!G33</f>
        <v>89.4</v>
      </c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  <c r="U131" s="412"/>
      <c r="V131" s="412"/>
      <c r="W131" s="412"/>
      <c r="X131" s="412"/>
      <c r="Y131" s="412"/>
      <c r="Z131" s="412"/>
      <c r="AA131" s="412"/>
      <c r="AB131" s="412"/>
      <c r="AC131" s="412"/>
      <c r="AD131" s="412"/>
    </row>
    <row r="132" spans="1:30">
      <c r="A132" s="412"/>
      <c r="B132" s="412"/>
      <c r="C132" s="412" t="str">
        <f>'Templ-Mats'!B34</f>
        <v>I06</v>
      </c>
      <c r="D132" s="412" t="str">
        <f>'Templ-Mats'!C34</f>
        <v>244mm batt insulation</v>
      </c>
      <c r="E132" s="412" t="str">
        <f t="shared" si="7"/>
        <v>I06</v>
      </c>
      <c r="F132" s="418">
        <f t="shared" si="8"/>
        <v>4.8760000000000003</v>
      </c>
      <c r="G132" s="412">
        <f>'Templ-Mats'!J34</f>
        <v>0.05</v>
      </c>
      <c r="H132" s="412">
        <f>'Templ-Mats'!G34</f>
        <v>243.8</v>
      </c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412"/>
      <c r="Z132" s="412"/>
      <c r="AA132" s="412"/>
      <c r="AB132" s="412"/>
      <c r="AC132" s="412"/>
      <c r="AD132" s="412"/>
    </row>
    <row r="133" spans="1:30">
      <c r="A133" s="412"/>
      <c r="B133" s="412"/>
      <c r="C133" s="412" t="str">
        <f>'Templ-Mats'!B35</f>
        <v>M01</v>
      </c>
      <c r="D133" s="412" t="str">
        <f>'Templ-Mats'!C35</f>
        <v>100mm brick</v>
      </c>
      <c r="E133" s="412" t="str">
        <f t="shared" si="7"/>
        <v>M01</v>
      </c>
      <c r="F133" s="418">
        <f t="shared" si="8"/>
        <v>0.11415730337078651</v>
      </c>
      <c r="G133" s="412">
        <f>'Templ-Mats'!J35</f>
        <v>0.89</v>
      </c>
      <c r="H133" s="412">
        <f>'Templ-Mats'!G35</f>
        <v>101.6</v>
      </c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412"/>
      <c r="AA133" s="412"/>
      <c r="AB133" s="412"/>
      <c r="AC133" s="412"/>
      <c r="AD133" s="412"/>
    </row>
    <row r="134" spans="1:30">
      <c r="A134" s="412"/>
      <c r="B134" s="412"/>
      <c r="C134" s="412" t="str">
        <f>'Templ-Mats'!B36</f>
        <v>M02</v>
      </c>
      <c r="D134" s="412" t="str">
        <f>'Templ-Mats'!C36</f>
        <v>150mm lightweight concrete block</v>
      </c>
      <c r="E134" s="412" t="str">
        <f t="shared" si="7"/>
        <v>M02</v>
      </c>
      <c r="F134" s="418">
        <f t="shared" si="8"/>
        <v>0.31102040816326532</v>
      </c>
      <c r="G134" s="412">
        <f>'Templ-Mats'!J36</f>
        <v>0.49</v>
      </c>
      <c r="H134" s="412">
        <f>'Templ-Mats'!G36</f>
        <v>152.4</v>
      </c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412"/>
      <c r="AA134" s="412"/>
      <c r="AB134" s="412"/>
      <c r="AC134" s="412"/>
      <c r="AD134" s="412"/>
    </row>
    <row r="135" spans="1:30">
      <c r="A135" s="412"/>
      <c r="B135" s="412"/>
      <c r="C135" s="412" t="str">
        <f>'Templ-Mats'!B37</f>
        <v>M03</v>
      </c>
      <c r="D135" s="412" t="str">
        <f>'Templ-Mats'!C37</f>
        <v>200mm lightweight concrete block</v>
      </c>
      <c r="E135" s="412" t="str">
        <f t="shared" si="7"/>
        <v>M03</v>
      </c>
      <c r="F135" s="418">
        <f t="shared" si="8"/>
        <v>0.40639999999999998</v>
      </c>
      <c r="G135" s="412">
        <f>'Templ-Mats'!J37</f>
        <v>0.5</v>
      </c>
      <c r="H135" s="412">
        <f>'Templ-Mats'!G37</f>
        <v>203.2</v>
      </c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412"/>
      <c r="AA135" s="412"/>
      <c r="AB135" s="412"/>
      <c r="AC135" s="412"/>
      <c r="AD135" s="412"/>
    </row>
    <row r="136" spans="1:30">
      <c r="A136" s="412"/>
      <c r="B136" s="412"/>
      <c r="C136" s="412" t="str">
        <f>'Templ-Mats'!B38</f>
        <v>M04</v>
      </c>
      <c r="D136" s="412" t="str">
        <f>'Templ-Mats'!C38</f>
        <v>300mm lightweight concrete block</v>
      </c>
      <c r="E136" s="412" t="str">
        <f t="shared" si="7"/>
        <v>M04</v>
      </c>
      <c r="F136" s="418">
        <f t="shared" si="8"/>
        <v>0.42929577464788737</v>
      </c>
      <c r="G136" s="412">
        <f>'Templ-Mats'!J38</f>
        <v>0.71</v>
      </c>
      <c r="H136" s="412">
        <f>'Templ-Mats'!G38</f>
        <v>304.8</v>
      </c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  <c r="S136" s="412"/>
      <c r="T136" s="412"/>
      <c r="U136" s="412"/>
      <c r="V136" s="412"/>
      <c r="W136" s="412"/>
      <c r="X136" s="412"/>
      <c r="Y136" s="412"/>
      <c r="Z136" s="412"/>
      <c r="AA136" s="412"/>
      <c r="AB136" s="412"/>
      <c r="AC136" s="412"/>
      <c r="AD136" s="412"/>
    </row>
    <row r="137" spans="1:30">
      <c r="A137" s="412"/>
      <c r="B137" s="412"/>
      <c r="C137" s="412" t="str">
        <f>'Templ-Mats'!B39</f>
        <v>M05</v>
      </c>
      <c r="D137" s="412" t="str">
        <f>'Templ-Mats'!C39</f>
        <v>200mm concrete block</v>
      </c>
      <c r="E137" s="412" t="str">
        <f t="shared" si="7"/>
        <v>M05</v>
      </c>
      <c r="F137" s="418">
        <f t="shared" si="8"/>
        <v>0.18306306306306305</v>
      </c>
      <c r="G137" s="412">
        <f>'Templ-Mats'!J39</f>
        <v>1.1100000000000001</v>
      </c>
      <c r="H137" s="412">
        <f>'Templ-Mats'!G39</f>
        <v>203.2</v>
      </c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  <c r="S137" s="412"/>
      <c r="T137" s="412"/>
      <c r="U137" s="412"/>
      <c r="V137" s="412"/>
      <c r="W137" s="412"/>
      <c r="X137" s="412"/>
      <c r="Y137" s="412"/>
      <c r="Z137" s="412"/>
      <c r="AA137" s="412"/>
      <c r="AB137" s="412"/>
      <c r="AC137" s="412"/>
      <c r="AD137" s="412"/>
    </row>
    <row r="138" spans="1:30">
      <c r="A138" s="412"/>
      <c r="B138" s="412"/>
      <c r="C138" s="412" t="str">
        <f>'Templ-Mats'!B40</f>
        <v>M06</v>
      </c>
      <c r="D138" s="412" t="str">
        <f>'Templ-Mats'!C40</f>
        <v>300mm concrete block</v>
      </c>
      <c r="E138" s="412" t="str">
        <f t="shared" si="7"/>
        <v>M06</v>
      </c>
      <c r="F138" s="418">
        <f t="shared" si="8"/>
        <v>0.21771428571428575</v>
      </c>
      <c r="G138" s="412">
        <f>'Templ-Mats'!J40</f>
        <v>1.4</v>
      </c>
      <c r="H138" s="412">
        <f>'Templ-Mats'!G40</f>
        <v>304.8</v>
      </c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412"/>
      <c r="Z138" s="412"/>
      <c r="AA138" s="412"/>
      <c r="AB138" s="412"/>
      <c r="AC138" s="412"/>
      <c r="AD138" s="412"/>
    </row>
    <row r="139" spans="1:30">
      <c r="A139" s="412"/>
      <c r="B139" s="412"/>
      <c r="C139" s="412" t="str">
        <f>'Templ-Mats'!B41</f>
        <v>M07</v>
      </c>
      <c r="D139" s="412" t="str">
        <f>'Templ-Mats'!C41</f>
        <v>150mm lightweight concrete block (filled)</v>
      </c>
      <c r="E139" s="412" t="str">
        <f t="shared" si="7"/>
        <v>M07</v>
      </c>
      <c r="F139" s="418">
        <f t="shared" si="8"/>
        <v>0.52551724137931044</v>
      </c>
      <c r="G139" s="412">
        <f>'Templ-Mats'!J41</f>
        <v>0.28999999999999998</v>
      </c>
      <c r="H139" s="412">
        <f>'Templ-Mats'!G41</f>
        <v>152.4</v>
      </c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  <c r="S139" s="412"/>
      <c r="T139" s="412"/>
      <c r="U139" s="412"/>
      <c r="V139" s="412"/>
      <c r="W139" s="412"/>
      <c r="X139" s="412"/>
      <c r="Y139" s="412"/>
      <c r="Z139" s="412"/>
      <c r="AA139" s="412"/>
      <c r="AB139" s="412"/>
      <c r="AC139" s="412"/>
      <c r="AD139" s="412"/>
    </row>
    <row r="140" spans="1:30">
      <c r="A140" s="412"/>
      <c r="B140" s="412"/>
      <c r="C140" s="412" t="str">
        <f>'Templ-Mats'!B42</f>
        <v>M08</v>
      </c>
      <c r="D140" s="412" t="str">
        <f>'Templ-Mats'!C42</f>
        <v>200mm lightweight concrete block (filled)</v>
      </c>
      <c r="E140" s="412" t="str">
        <f t="shared" si="7"/>
        <v>M08</v>
      </c>
      <c r="F140" s="418">
        <f t="shared" si="8"/>
        <v>0.78153846153846152</v>
      </c>
      <c r="G140" s="412">
        <f>'Templ-Mats'!J42</f>
        <v>0.26</v>
      </c>
      <c r="H140" s="412">
        <f>'Templ-Mats'!G42</f>
        <v>203.2</v>
      </c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  <c r="S140" s="412"/>
      <c r="T140" s="412"/>
      <c r="U140" s="412"/>
      <c r="V140" s="412"/>
      <c r="W140" s="412"/>
      <c r="X140" s="412"/>
      <c r="Y140" s="412"/>
      <c r="Z140" s="412"/>
      <c r="AA140" s="412"/>
      <c r="AB140" s="412"/>
      <c r="AC140" s="412"/>
      <c r="AD140" s="412"/>
    </row>
    <row r="141" spans="1:30">
      <c r="A141" s="412"/>
      <c r="B141" s="412"/>
      <c r="C141" s="412" t="str">
        <f>'Templ-Mats'!B43</f>
        <v>M09</v>
      </c>
      <c r="D141" s="412" t="str">
        <f>'Templ-Mats'!C43</f>
        <v>300mm lightweight concrete block (filled)</v>
      </c>
      <c r="E141" s="412" t="str">
        <f t="shared" si="7"/>
        <v>M09</v>
      </c>
      <c r="F141" s="418">
        <f t="shared" si="8"/>
        <v>1.0510344827586209</v>
      </c>
      <c r="G141" s="412">
        <f>'Templ-Mats'!J43</f>
        <v>0.28999999999999998</v>
      </c>
      <c r="H141" s="412">
        <f>'Templ-Mats'!G43</f>
        <v>304.8</v>
      </c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412"/>
      <c r="Z141" s="412"/>
      <c r="AA141" s="412"/>
      <c r="AB141" s="412"/>
      <c r="AC141" s="412"/>
      <c r="AD141" s="412"/>
    </row>
    <row r="142" spans="1:30">
      <c r="A142" s="412"/>
      <c r="B142" s="412"/>
      <c r="C142" s="412" t="str">
        <f>'Templ-Mats'!B44</f>
        <v>M10</v>
      </c>
      <c r="D142" s="412" t="str">
        <f>'Templ-Mats'!C44</f>
        <v>200mm concrete block (filled)</v>
      </c>
      <c r="E142" s="412" t="str">
        <f t="shared" si="7"/>
        <v>M10</v>
      </c>
      <c r="F142" s="418">
        <f t="shared" si="8"/>
        <v>0.28222222222222221</v>
      </c>
      <c r="G142" s="412">
        <f>'Templ-Mats'!J44</f>
        <v>0.72</v>
      </c>
      <c r="H142" s="412">
        <f>'Templ-Mats'!G44</f>
        <v>203.2</v>
      </c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12"/>
      <c r="AA142" s="412"/>
      <c r="AB142" s="412"/>
      <c r="AC142" s="412"/>
      <c r="AD142" s="412"/>
    </row>
    <row r="143" spans="1:30">
      <c r="A143" s="412"/>
      <c r="B143" s="412"/>
      <c r="C143" s="412" t="str">
        <f>'Templ-Mats'!B45</f>
        <v>M11</v>
      </c>
      <c r="D143" s="412" t="str">
        <f>'Templ-Mats'!C45</f>
        <v>100mm lightweight concrete</v>
      </c>
      <c r="E143" s="412" t="str">
        <f t="shared" si="7"/>
        <v>M11</v>
      </c>
      <c r="F143" s="418">
        <f t="shared" si="8"/>
        <v>0.19169811320754715</v>
      </c>
      <c r="G143" s="412">
        <f>'Templ-Mats'!J45</f>
        <v>0.53</v>
      </c>
      <c r="H143" s="412">
        <f>'Templ-Mats'!G45</f>
        <v>101.6</v>
      </c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412"/>
      <c r="AA143" s="412"/>
      <c r="AB143" s="412"/>
      <c r="AC143" s="412"/>
      <c r="AD143" s="412"/>
    </row>
    <row r="144" spans="1:30">
      <c r="A144" s="412"/>
      <c r="B144" s="412"/>
      <c r="C144" s="412" t="str">
        <f>'Templ-Mats'!B46</f>
        <v>M12</v>
      </c>
      <c r="D144" s="412" t="str">
        <f>'Templ-Mats'!C46</f>
        <v>150mm lightweight concrete</v>
      </c>
      <c r="E144" s="412" t="str">
        <f t="shared" si="7"/>
        <v>M12</v>
      </c>
      <c r="F144" s="418">
        <f t="shared" si="8"/>
        <v>0.28754716981132078</v>
      </c>
      <c r="G144" s="412">
        <f>'Templ-Mats'!J46</f>
        <v>0.53</v>
      </c>
      <c r="H144" s="412">
        <f>'Templ-Mats'!G46</f>
        <v>152.4</v>
      </c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412"/>
      <c r="AA144" s="412"/>
      <c r="AB144" s="412"/>
      <c r="AC144" s="412"/>
      <c r="AD144" s="412"/>
    </row>
    <row r="145" spans="1:30">
      <c r="A145" s="412"/>
      <c r="B145" s="412"/>
      <c r="C145" s="412" t="str">
        <f>'Templ-Mats'!B47</f>
        <v>M13</v>
      </c>
      <c r="D145" s="412" t="str">
        <f>'Templ-Mats'!C47</f>
        <v>200mm lightweight concrete</v>
      </c>
      <c r="E145" s="412" t="str">
        <f t="shared" si="7"/>
        <v>M13</v>
      </c>
      <c r="F145" s="418">
        <f t="shared" si="8"/>
        <v>0.3833962264150943</v>
      </c>
      <c r="G145" s="412">
        <f>'Templ-Mats'!J47</f>
        <v>0.53</v>
      </c>
      <c r="H145" s="412">
        <f>'Templ-Mats'!G47</f>
        <v>203.2</v>
      </c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412"/>
      <c r="AA145" s="412"/>
      <c r="AB145" s="412"/>
      <c r="AC145" s="412"/>
      <c r="AD145" s="412"/>
    </row>
    <row r="146" spans="1:30">
      <c r="A146" s="412"/>
      <c r="B146" s="412"/>
      <c r="C146" s="412" t="s">
        <v>603</v>
      </c>
      <c r="D146" s="412" t="str">
        <f>'Templ-Mats'!C48</f>
        <v>100mm heavyweight concrete</v>
      </c>
      <c r="E146" s="412" t="str">
        <f t="shared" si="7"/>
        <v>M14a</v>
      </c>
      <c r="F146" s="418">
        <f t="shared" si="8"/>
        <v>5.21025641025641E-2</v>
      </c>
      <c r="G146" s="412">
        <f>'Templ-Mats'!J48</f>
        <v>1.95</v>
      </c>
      <c r="H146" s="412">
        <f>'Templ-Mats'!G48</f>
        <v>101.6</v>
      </c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412"/>
      <c r="AB146" s="412"/>
      <c r="AC146" s="412"/>
      <c r="AD146" s="412"/>
    </row>
    <row r="147" spans="1:30">
      <c r="A147" s="412"/>
      <c r="B147" s="412"/>
      <c r="C147" s="412" t="str">
        <f>'Templ-Mats'!B49</f>
        <v>M14</v>
      </c>
      <c r="D147" s="412" t="str">
        <f>'Templ-Mats'!C49</f>
        <v>150mm heavyweight concrete</v>
      </c>
      <c r="E147" s="412" t="str">
        <f t="shared" si="7"/>
        <v>M14</v>
      </c>
      <c r="F147" s="418">
        <f t="shared" si="8"/>
        <v>7.8153846153846157E-2</v>
      </c>
      <c r="G147" s="412">
        <f>'Templ-Mats'!J49</f>
        <v>1.95</v>
      </c>
      <c r="H147" s="412">
        <f>'Templ-Mats'!G49</f>
        <v>152.4</v>
      </c>
      <c r="I147" s="412"/>
      <c r="J147" s="412"/>
      <c r="K147" s="412"/>
      <c r="L147" s="412"/>
      <c r="M147" s="412"/>
      <c r="N147" s="412"/>
      <c r="O147" s="412"/>
      <c r="P147" s="412"/>
      <c r="Q147" s="412"/>
      <c r="R147" s="412"/>
      <c r="S147" s="412"/>
      <c r="T147" s="412"/>
      <c r="U147" s="412"/>
      <c r="V147" s="412"/>
      <c r="W147" s="412"/>
      <c r="X147" s="412"/>
      <c r="Y147" s="412"/>
      <c r="Z147" s="412"/>
      <c r="AA147" s="412"/>
      <c r="AB147" s="412"/>
      <c r="AC147" s="412"/>
      <c r="AD147" s="412"/>
    </row>
    <row r="148" spans="1:30">
      <c r="A148" s="412"/>
      <c r="B148" s="412"/>
      <c r="C148" s="412" t="str">
        <f>'Templ-Mats'!B50</f>
        <v>M15</v>
      </c>
      <c r="D148" s="412" t="str">
        <f>'Templ-Mats'!C50</f>
        <v>200mm heavyweight concrete</v>
      </c>
      <c r="E148" s="412" t="str">
        <f t="shared" si="7"/>
        <v>M15</v>
      </c>
      <c r="F148" s="418">
        <f t="shared" si="8"/>
        <v>0.1042051282051282</v>
      </c>
      <c r="G148" s="412">
        <f>'Templ-Mats'!J50</f>
        <v>1.95</v>
      </c>
      <c r="H148" s="412">
        <f>'Templ-Mats'!G50</f>
        <v>203.2</v>
      </c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412"/>
      <c r="AB148" s="412"/>
      <c r="AC148" s="412"/>
      <c r="AD148" s="412"/>
    </row>
    <row r="149" spans="1:30">
      <c r="A149" s="412"/>
      <c r="B149" s="412"/>
      <c r="C149" s="412" t="str">
        <f>'Templ-Mats'!B51</f>
        <v>M16</v>
      </c>
      <c r="D149" s="412" t="str">
        <f>'Templ-Mats'!C51</f>
        <v>300mm heavyweight concrete</v>
      </c>
      <c r="E149" s="412" t="str">
        <f t="shared" si="7"/>
        <v>M16</v>
      </c>
      <c r="F149" s="418">
        <f t="shared" si="8"/>
        <v>0.15630769230769231</v>
      </c>
      <c r="G149" s="412">
        <f>'Templ-Mats'!J51</f>
        <v>1.95</v>
      </c>
      <c r="H149" s="412">
        <f>'Templ-Mats'!G51</f>
        <v>304.8</v>
      </c>
      <c r="I149" s="412"/>
      <c r="J149" s="412"/>
      <c r="K149" s="412"/>
      <c r="L149" s="412"/>
      <c r="M149" s="412"/>
      <c r="N149" s="412"/>
      <c r="O149" s="412"/>
      <c r="P149" s="412"/>
      <c r="Q149" s="412"/>
      <c r="R149" s="412"/>
      <c r="S149" s="412"/>
      <c r="T149" s="412"/>
      <c r="U149" s="412"/>
      <c r="V149" s="412"/>
      <c r="W149" s="412"/>
      <c r="X149" s="412"/>
      <c r="Y149" s="412"/>
      <c r="Z149" s="412"/>
      <c r="AA149" s="412"/>
      <c r="AB149" s="412"/>
      <c r="AC149" s="412"/>
      <c r="AD149" s="412"/>
    </row>
    <row r="150" spans="1:30">
      <c r="A150" s="412"/>
      <c r="B150" s="412"/>
      <c r="C150" s="412" t="str">
        <f>'Templ-Mats'!B52</f>
        <v>M17</v>
      </c>
      <c r="D150" s="412" t="str">
        <f>'Templ-Mats'!C52</f>
        <v>50mm lightweight concrete roof ballast</v>
      </c>
      <c r="E150" s="412"/>
      <c r="F150" s="418">
        <f t="shared" si="8"/>
        <v>0.26736842105263159</v>
      </c>
      <c r="G150" s="412">
        <f>'Templ-Mats'!J52</f>
        <v>0.19</v>
      </c>
      <c r="H150" s="412">
        <f>'Templ-Mats'!G52</f>
        <v>50.8</v>
      </c>
      <c r="I150" s="412"/>
      <c r="J150" s="412"/>
      <c r="K150" s="412"/>
      <c r="L150" s="412"/>
      <c r="M150" s="412"/>
      <c r="N150" s="412"/>
      <c r="O150" s="412"/>
      <c r="P150" s="412"/>
      <c r="Q150" s="412"/>
      <c r="R150" s="412"/>
      <c r="S150" s="412"/>
      <c r="T150" s="412"/>
      <c r="U150" s="412"/>
      <c r="V150" s="412"/>
      <c r="W150" s="412"/>
      <c r="X150" s="412"/>
      <c r="Y150" s="412"/>
      <c r="Z150" s="412"/>
      <c r="AA150" s="412"/>
      <c r="AB150" s="412"/>
      <c r="AC150" s="412"/>
      <c r="AD150" s="412"/>
    </row>
    <row r="151" spans="1:30">
      <c r="A151" s="412"/>
      <c r="B151" s="412"/>
      <c r="C151" s="412" t="str">
        <f>'Templ-Mats'!B53</f>
        <v/>
      </c>
      <c r="D151" s="412" t="str">
        <f>'Templ-Mats'!C53</f>
        <v>Asbestos-cement board – 3.2mm</v>
      </c>
      <c r="E151" s="412"/>
      <c r="F151" s="418">
        <f t="shared" si="8"/>
        <v>5.5172413793103453E-3</v>
      </c>
      <c r="G151" s="412">
        <f>'Templ-Mats'!J53</f>
        <v>0.57999999999999996</v>
      </c>
      <c r="H151" s="412">
        <f>'Templ-Mats'!G53</f>
        <v>3.2</v>
      </c>
      <c r="I151" s="412"/>
      <c r="J151" s="412"/>
      <c r="K151" s="412"/>
      <c r="L151" s="412"/>
      <c r="M151" s="412"/>
      <c r="N151" s="412"/>
      <c r="O151" s="412"/>
      <c r="P151" s="412"/>
      <c r="Q151" s="412"/>
      <c r="R151" s="412"/>
      <c r="S151" s="412"/>
      <c r="T151" s="412"/>
      <c r="U151" s="412"/>
      <c r="V151" s="412"/>
      <c r="W151" s="412"/>
      <c r="X151" s="412"/>
      <c r="Y151" s="412"/>
      <c r="Z151" s="412"/>
      <c r="AA151" s="412"/>
      <c r="AB151" s="412"/>
      <c r="AC151" s="412"/>
      <c r="AD151" s="412"/>
    </row>
    <row r="152" spans="1:30">
      <c r="A152" s="412"/>
      <c r="B152" s="412"/>
      <c r="C152" s="412" t="str">
        <f>'Templ-Mats'!B54</f>
        <v/>
      </c>
      <c r="D152" s="412" t="str">
        <f>'Templ-Mats'!C54</f>
        <v>Asbestos-cement board - 6.4mm</v>
      </c>
      <c r="E152" s="412"/>
      <c r="F152" s="418">
        <f t="shared" si="8"/>
        <v>1.1034482758620691E-2</v>
      </c>
      <c r="G152" s="412">
        <f>'Templ-Mats'!J54</f>
        <v>0.57999999999999996</v>
      </c>
      <c r="H152" s="412">
        <f>'Templ-Mats'!G54</f>
        <v>6.4</v>
      </c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412"/>
      <c r="AA152" s="412"/>
      <c r="AB152" s="412"/>
      <c r="AC152" s="412"/>
      <c r="AD152" s="412"/>
    </row>
    <row r="153" spans="1:30">
      <c r="A153" s="412"/>
      <c r="B153" s="412"/>
      <c r="C153" s="412" t="str">
        <f>'Templ-Mats'!B55</f>
        <v/>
      </c>
      <c r="D153" s="412" t="str">
        <f>'Templ-Mats'!C55</f>
        <v>Gypsum or plaster board - 9.5mm</v>
      </c>
      <c r="E153" s="412"/>
      <c r="F153" s="418">
        <f t="shared" si="8"/>
        <v>1.6379310344827588E-2</v>
      </c>
      <c r="G153" s="412">
        <f>'Templ-Mats'!J55</f>
        <v>0.57999999999999996</v>
      </c>
      <c r="H153" s="412">
        <f>'Templ-Mats'!G55</f>
        <v>9.5</v>
      </c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412"/>
      <c r="AA153" s="412"/>
      <c r="AB153" s="412"/>
      <c r="AC153" s="412"/>
      <c r="AD153" s="412"/>
    </row>
    <row r="154" spans="1:30">
      <c r="A154" s="412"/>
      <c r="B154" s="412"/>
      <c r="C154" s="412" t="str">
        <f>'Templ-Mats'!B56</f>
        <v/>
      </c>
      <c r="D154" s="412" t="str">
        <f>'Templ-Mats'!C56</f>
        <v>Gypsum or plaster board - 2.7mm</v>
      </c>
      <c r="E154" s="412"/>
      <c r="F154" s="418">
        <f t="shared" si="8"/>
        <v>4.6551724137931039E-3</v>
      </c>
      <c r="G154" s="412">
        <f>'Templ-Mats'!J56</f>
        <v>0.57999999999999996</v>
      </c>
      <c r="H154" s="412">
        <f>'Templ-Mats'!G56</f>
        <v>2.7</v>
      </c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412"/>
      <c r="AA154" s="412"/>
      <c r="AB154" s="412"/>
      <c r="AC154" s="412"/>
      <c r="AD154" s="412"/>
    </row>
    <row r="155" spans="1:30">
      <c r="A155" s="412"/>
      <c r="B155" s="412"/>
      <c r="C155" s="412" t="str">
        <f>'Templ-Mats'!B57</f>
        <v/>
      </c>
      <c r="D155" s="412" t="str">
        <f>'Templ-Mats'!C57</f>
        <v>Gypsum or plaster board - 5.9mm</v>
      </c>
      <c r="E155" s="412"/>
      <c r="F155" s="418">
        <f t="shared" si="8"/>
        <v>1.0172413793103451E-2</v>
      </c>
      <c r="G155" s="412">
        <f>'Templ-Mats'!J57</f>
        <v>0.57999999999999996</v>
      </c>
      <c r="H155" s="412">
        <f>'Templ-Mats'!G57</f>
        <v>5.9</v>
      </c>
      <c r="I155" s="412"/>
      <c r="J155" s="412"/>
      <c r="K155" s="412"/>
      <c r="L155" s="412"/>
      <c r="M155" s="412"/>
      <c r="N155" s="412"/>
      <c r="O155" s="412"/>
      <c r="P155" s="412"/>
      <c r="Q155" s="412"/>
      <c r="R155" s="412"/>
      <c r="S155" s="412"/>
      <c r="T155" s="412"/>
      <c r="U155" s="412"/>
      <c r="V155" s="412"/>
      <c r="W155" s="412"/>
      <c r="X155" s="412"/>
      <c r="Y155" s="412"/>
      <c r="Z155" s="412"/>
      <c r="AA155" s="412"/>
      <c r="AB155" s="412"/>
      <c r="AC155" s="412"/>
      <c r="AD155" s="412"/>
    </row>
    <row r="156" spans="1:30">
      <c r="A156" s="412"/>
      <c r="B156" s="412"/>
      <c r="C156" s="412" t="str">
        <f>'Templ-Mats'!B58</f>
        <v/>
      </c>
      <c r="D156" s="412" t="str">
        <f>'Templ-Mats'!C58</f>
        <v>Plywood (Douglas Fir) - 6.4mm</v>
      </c>
      <c r="E156" s="412"/>
      <c r="F156" s="418">
        <f t="shared" si="8"/>
        <v>5.3333333333333337E-2</v>
      </c>
      <c r="G156" s="412">
        <f>'Templ-Mats'!J58</f>
        <v>0.12</v>
      </c>
      <c r="H156" s="412">
        <f>'Templ-Mats'!G58</f>
        <v>6.4</v>
      </c>
      <c r="I156" s="412"/>
      <c r="J156" s="412"/>
      <c r="K156" s="412"/>
      <c r="L156" s="412"/>
      <c r="M156" s="412"/>
      <c r="N156" s="412"/>
      <c r="O156" s="412"/>
      <c r="P156" s="412"/>
      <c r="Q156" s="412"/>
      <c r="R156" s="412"/>
      <c r="S156" s="412"/>
      <c r="T156" s="412"/>
      <c r="U156" s="412"/>
      <c r="V156" s="412"/>
      <c r="W156" s="412"/>
      <c r="X156" s="412"/>
      <c r="Y156" s="412"/>
      <c r="Z156" s="412"/>
      <c r="AA156" s="412"/>
      <c r="AB156" s="412"/>
      <c r="AC156" s="412"/>
      <c r="AD156" s="412"/>
    </row>
    <row r="157" spans="1:30">
      <c r="A157" s="412"/>
      <c r="B157" s="412"/>
      <c r="C157" s="412" t="str">
        <f>'Templ-Mats'!B59</f>
        <v/>
      </c>
      <c r="D157" s="412" t="str">
        <f>'Templ-Mats'!C59</f>
        <v>Plywood (Douglas Fir) - 9.5mm</v>
      </c>
      <c r="E157" s="412"/>
      <c r="F157" s="418">
        <f t="shared" si="8"/>
        <v>7.9166666666666663E-2</v>
      </c>
      <c r="G157" s="412">
        <f>'Templ-Mats'!J59</f>
        <v>0.12</v>
      </c>
      <c r="H157" s="412">
        <f>'Templ-Mats'!G59</f>
        <v>9.5</v>
      </c>
      <c r="I157" s="412"/>
      <c r="J157" s="412"/>
      <c r="K157" s="412"/>
      <c r="L157" s="412"/>
      <c r="M157" s="412"/>
      <c r="N157" s="412"/>
      <c r="O157" s="412"/>
      <c r="P157" s="412"/>
      <c r="Q157" s="412"/>
      <c r="R157" s="412"/>
      <c r="S157" s="412"/>
      <c r="T157" s="412"/>
      <c r="U157" s="412"/>
      <c r="V157" s="412"/>
      <c r="W157" s="412"/>
      <c r="X157" s="412"/>
      <c r="Y157" s="412"/>
      <c r="Z157" s="412"/>
      <c r="AA157" s="412"/>
      <c r="AB157" s="412"/>
      <c r="AC157" s="412"/>
      <c r="AD157" s="412"/>
    </row>
    <row r="158" spans="1:30">
      <c r="A158" s="412"/>
      <c r="B158" s="412"/>
      <c r="C158" s="412" t="str">
        <f>'Templ-Mats'!B60</f>
        <v/>
      </c>
      <c r="D158" s="412" t="str">
        <f>'Templ-Mats'!C60</f>
        <v>Plywood (Douglas Fir) - 12.7mm</v>
      </c>
      <c r="E158" s="412"/>
      <c r="F158" s="418">
        <f t="shared" si="8"/>
        <v>0.10583333333333333</v>
      </c>
      <c r="G158" s="412">
        <f>'Templ-Mats'!J60</f>
        <v>0.12</v>
      </c>
      <c r="H158" s="412">
        <f>'Templ-Mats'!G60</f>
        <v>12.7</v>
      </c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412"/>
      <c r="Z158" s="412"/>
      <c r="AA158" s="412"/>
      <c r="AB158" s="412"/>
      <c r="AC158" s="412"/>
      <c r="AD158" s="412"/>
    </row>
    <row r="159" spans="1:30">
      <c r="A159" s="412"/>
      <c r="B159" s="412"/>
      <c r="C159" s="412" t="str">
        <f>'Templ-Mats'!B61</f>
        <v/>
      </c>
      <c r="D159" s="412" t="str">
        <f>'Templ-Mats'!C61</f>
        <v>Plywood (Douglas Fir) - 15.9mm</v>
      </c>
      <c r="E159" s="412"/>
      <c r="F159" s="418">
        <f t="shared" si="8"/>
        <v>0.13250000000000001</v>
      </c>
      <c r="G159" s="412">
        <f>'Templ-Mats'!J61</f>
        <v>0.12</v>
      </c>
      <c r="H159" s="412">
        <f>'Templ-Mats'!G61</f>
        <v>15.9</v>
      </c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  <c r="U159" s="412"/>
      <c r="V159" s="412"/>
      <c r="W159" s="412"/>
      <c r="X159" s="412"/>
      <c r="Y159" s="412"/>
      <c r="Z159" s="412"/>
      <c r="AA159" s="412"/>
      <c r="AB159" s="412"/>
      <c r="AC159" s="412"/>
      <c r="AD159" s="412"/>
    </row>
    <row r="160" spans="1:30">
      <c r="A160" s="412"/>
      <c r="B160" s="412"/>
      <c r="C160" s="412" t="str">
        <f>'Templ-Mats'!B62</f>
        <v>AF10</v>
      </c>
      <c r="D160" s="412" t="str">
        <f>'Templ-Mats'!C62</f>
        <v>Plywood or wood panels - 19.0mm</v>
      </c>
      <c r="E160" s="412"/>
      <c r="F160" s="418">
        <f t="shared" si="8"/>
        <v>0.15833333333333333</v>
      </c>
      <c r="G160" s="412">
        <f>'Templ-Mats'!J62</f>
        <v>0.12</v>
      </c>
      <c r="H160" s="412">
        <f>'Templ-Mats'!G62</f>
        <v>19</v>
      </c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  <c r="S160" s="412"/>
      <c r="T160" s="412"/>
      <c r="U160" s="412"/>
      <c r="V160" s="412"/>
      <c r="W160" s="412"/>
      <c r="X160" s="412"/>
      <c r="Y160" s="412"/>
      <c r="Z160" s="412"/>
      <c r="AA160" s="412"/>
      <c r="AB160" s="412"/>
      <c r="AC160" s="412"/>
      <c r="AD160" s="412"/>
    </row>
    <row r="161" spans="1:30">
      <c r="A161" s="412"/>
      <c r="B161" s="412"/>
      <c r="C161" s="412" t="str">
        <f>'Templ-Mats'!B63</f>
        <v>AF11</v>
      </c>
      <c r="D161" s="412" t="str">
        <f>'Templ-Mats'!C63</f>
        <v>Sheathing - regular density - 12.7mm</v>
      </c>
      <c r="E161" s="412"/>
      <c r="F161" s="418">
        <f t="shared" si="8"/>
        <v>0.2309090909090909</v>
      </c>
      <c r="G161" s="412">
        <f>'Templ-Mats'!J63</f>
        <v>5.5E-2</v>
      </c>
      <c r="H161" s="412">
        <f>'Templ-Mats'!G63</f>
        <v>12.7</v>
      </c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412"/>
      <c r="Z161" s="412"/>
      <c r="AA161" s="412"/>
      <c r="AB161" s="412"/>
      <c r="AC161" s="412"/>
      <c r="AD161" s="412"/>
    </row>
    <row r="162" spans="1:30">
      <c r="A162" s="412"/>
      <c r="B162" s="412"/>
      <c r="C162" s="412" t="str">
        <f>'Templ-Mats'!B64</f>
        <v>AF12</v>
      </c>
      <c r="D162" s="412" t="str">
        <f>'Templ-Mats'!C64</f>
        <v>Sheathing - regular density - 19.8mm</v>
      </c>
      <c r="E162" s="412"/>
      <c r="F162" s="418">
        <f t="shared" si="8"/>
        <v>0.36000000000000004</v>
      </c>
      <c r="G162" s="412">
        <f>'Templ-Mats'!J64</f>
        <v>5.5E-2</v>
      </c>
      <c r="H162" s="412">
        <f>'Templ-Mats'!G64</f>
        <v>19.8</v>
      </c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412"/>
      <c r="AB162" s="412"/>
      <c r="AC162" s="412"/>
      <c r="AD162" s="412"/>
    </row>
    <row r="163" spans="1:30">
      <c r="A163" s="412"/>
      <c r="B163" s="412"/>
      <c r="C163" s="412" t="str">
        <f>'Templ-Mats'!B65</f>
        <v>AF13</v>
      </c>
      <c r="D163" s="412" t="str">
        <f>'Templ-Mats'!C65</f>
        <v>Sheathing intermediate density - 12.7mm</v>
      </c>
      <c r="E163" s="412"/>
      <c r="F163" s="418">
        <f t="shared" si="8"/>
        <v>0.22280701754385962</v>
      </c>
      <c r="G163" s="412">
        <f>'Templ-Mats'!J65</f>
        <v>5.7000000000000002E-2</v>
      </c>
      <c r="H163" s="412">
        <f>'Templ-Mats'!G65</f>
        <v>12.7</v>
      </c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412"/>
      <c r="Z163" s="412"/>
      <c r="AA163" s="412"/>
      <c r="AB163" s="412"/>
      <c r="AC163" s="412"/>
      <c r="AD163" s="412"/>
    </row>
    <row r="164" spans="1:30">
      <c r="A164" s="412"/>
      <c r="B164" s="412"/>
      <c r="C164" s="412" t="str">
        <f>'Templ-Mats'!B66</f>
        <v>AF14</v>
      </c>
      <c r="D164" s="412" t="str">
        <f>'Templ-Mats'!C66</f>
        <v>Nail-base sheathing - 12.7mm</v>
      </c>
      <c r="E164" s="412"/>
      <c r="F164" s="418">
        <f t="shared" si="8"/>
        <v>0.22280701754385962</v>
      </c>
      <c r="G164" s="412">
        <f>'Templ-Mats'!J66</f>
        <v>5.7000000000000002E-2</v>
      </c>
      <c r="H164" s="412">
        <f>'Templ-Mats'!G66</f>
        <v>12.7</v>
      </c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  <c r="U164" s="412"/>
      <c r="V164" s="412"/>
      <c r="W164" s="412"/>
      <c r="X164" s="412"/>
      <c r="Y164" s="412"/>
      <c r="Z164" s="412"/>
      <c r="AA164" s="412"/>
      <c r="AB164" s="412"/>
      <c r="AC164" s="412"/>
      <c r="AD164" s="412"/>
    </row>
    <row r="165" spans="1:30">
      <c r="A165" s="412"/>
      <c r="B165" s="412"/>
      <c r="C165" s="412" t="str">
        <f>'Templ-Mats'!B67</f>
        <v>AF15</v>
      </c>
      <c r="D165" s="412" t="str">
        <f>'Templ-Mats'!C67</f>
        <v>Shingle backer - 9.5mm</v>
      </c>
      <c r="E165" s="412"/>
      <c r="F165" s="418">
        <f t="shared" si="8"/>
        <v>0.15079365079365079</v>
      </c>
      <c r="G165" s="412">
        <f>'Templ-Mats'!J67</f>
        <v>6.3E-2</v>
      </c>
      <c r="H165" s="412">
        <f>'Templ-Mats'!G67</f>
        <v>9.5</v>
      </c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412"/>
      <c r="AA165" s="412"/>
      <c r="AB165" s="412"/>
      <c r="AC165" s="412"/>
      <c r="AD165" s="412"/>
    </row>
    <row r="166" spans="1:30">
      <c r="A166" s="412"/>
      <c r="B166" s="412"/>
      <c r="C166" s="412" t="str">
        <f>'Templ-Mats'!B68</f>
        <v>AF16</v>
      </c>
      <c r="D166" s="412" t="str">
        <f>'Templ-Mats'!C68</f>
        <v>Shingle backer - 9.5mm</v>
      </c>
      <c r="E166" s="412"/>
      <c r="F166" s="418">
        <f t="shared" si="8"/>
        <v>0.15079365079365079</v>
      </c>
      <c r="G166" s="412">
        <f>'Templ-Mats'!J68</f>
        <v>6.3E-2</v>
      </c>
      <c r="H166" s="412">
        <f>'Templ-Mats'!G68</f>
        <v>9.5</v>
      </c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412"/>
      <c r="AA166" s="412"/>
      <c r="AB166" s="412"/>
      <c r="AC166" s="412"/>
      <c r="AD166" s="412"/>
    </row>
    <row r="167" spans="1:30">
      <c r="A167" s="412"/>
      <c r="B167" s="412"/>
      <c r="C167" s="412" t="str">
        <f>'Templ-Mats'!B69</f>
        <v>AF17</v>
      </c>
      <c r="D167" s="412" t="str">
        <f>'Templ-Mats'!C69</f>
        <v>Shingle backer - 7.9mm</v>
      </c>
      <c r="E167" s="412"/>
      <c r="F167" s="418">
        <f t="shared" si="8"/>
        <v>0.1253968253968254</v>
      </c>
      <c r="G167" s="412">
        <f>'Templ-Mats'!J69</f>
        <v>6.3E-2</v>
      </c>
      <c r="H167" s="412">
        <f>'Templ-Mats'!G69</f>
        <v>7.9</v>
      </c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412"/>
      <c r="AA167" s="412"/>
      <c r="AB167" s="412"/>
      <c r="AC167" s="412"/>
      <c r="AD167" s="412"/>
    </row>
    <row r="168" spans="1:30">
      <c r="A168" s="412"/>
      <c r="B168" s="412"/>
      <c r="C168" s="412" t="str">
        <f>'Templ-Mats'!B70</f>
        <v>AF18</v>
      </c>
      <c r="D168" s="412" t="str">
        <f>'Templ-Mats'!C70</f>
        <v>Sound deadening board</v>
      </c>
      <c r="E168" s="412"/>
      <c r="F168" s="418">
        <f t="shared" si="8"/>
        <v>0.20158730158730157</v>
      </c>
      <c r="G168" s="412">
        <f>'Templ-Mats'!J70</f>
        <v>6.3E-2</v>
      </c>
      <c r="H168" s="412">
        <f>'Templ-Mats'!G70</f>
        <v>12.7</v>
      </c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412"/>
      <c r="Z168" s="412"/>
      <c r="AA168" s="412"/>
      <c r="AB168" s="412"/>
      <c r="AC168" s="412"/>
      <c r="AD168" s="412"/>
    </row>
    <row r="169" spans="1:30">
      <c r="A169" s="412"/>
      <c r="B169" s="412"/>
      <c r="C169" s="412" t="str">
        <f>'Templ-Mats'!B71</f>
        <v>AF19</v>
      </c>
      <c r="D169" s="412" t="str">
        <f>'Templ-Mats'!C71</f>
        <v>Tile and lay-in panels - plain or acoustic - 12.7mm</v>
      </c>
      <c r="E169" s="412"/>
      <c r="F169" s="418">
        <f t="shared" ref="F169:F232" si="10">(H169/1000)/G169</f>
        <v>0.22280701754385962</v>
      </c>
      <c r="G169" s="412">
        <f>'Templ-Mats'!J71</f>
        <v>5.7000000000000002E-2</v>
      </c>
      <c r="H169" s="412">
        <f>'Templ-Mats'!G71</f>
        <v>12.7</v>
      </c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  <c r="S169" s="412"/>
      <c r="T169" s="412"/>
      <c r="U169" s="412"/>
      <c r="V169" s="412"/>
      <c r="W169" s="412"/>
      <c r="X169" s="412"/>
      <c r="Y169" s="412"/>
      <c r="Z169" s="412"/>
      <c r="AA169" s="412"/>
      <c r="AB169" s="412"/>
      <c r="AC169" s="412"/>
      <c r="AD169" s="412"/>
    </row>
    <row r="170" spans="1:30">
      <c r="A170" s="412"/>
      <c r="B170" s="412"/>
      <c r="C170" s="412" t="str">
        <f>'Templ-Mats'!B72</f>
        <v>AF20</v>
      </c>
      <c r="D170" s="412" t="str">
        <f>'Templ-Mats'!C72</f>
        <v>Tile and lay-in panels - plain or acoustic - 19mm</v>
      </c>
      <c r="E170" s="412"/>
      <c r="F170" s="418">
        <f t="shared" si="10"/>
        <v>0.33333333333333331</v>
      </c>
      <c r="G170" s="412">
        <f>'Templ-Mats'!J72</f>
        <v>5.7000000000000002E-2</v>
      </c>
      <c r="H170" s="412">
        <f>'Templ-Mats'!G72</f>
        <v>19</v>
      </c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  <c r="S170" s="412"/>
      <c r="T170" s="412"/>
      <c r="U170" s="412"/>
      <c r="V170" s="412"/>
      <c r="W170" s="412"/>
      <c r="X170" s="412"/>
      <c r="Y170" s="412"/>
      <c r="Z170" s="412"/>
      <c r="AA170" s="412"/>
      <c r="AB170" s="412"/>
      <c r="AC170" s="412"/>
      <c r="AD170" s="412"/>
    </row>
    <row r="171" spans="1:30">
      <c r="A171" s="412"/>
      <c r="B171" s="412"/>
      <c r="C171" s="412" t="str">
        <f>'Templ-Mats'!B73</f>
        <v>AF21</v>
      </c>
      <c r="D171" s="412" t="str">
        <f>'Templ-Mats'!C73</f>
        <v>Laminated paperboard</v>
      </c>
      <c r="E171" s="412"/>
      <c r="F171" s="418">
        <f t="shared" si="10"/>
        <v>4.4444444444444453E-2</v>
      </c>
      <c r="G171" s="412">
        <f>'Templ-Mats'!J73</f>
        <v>7.1999999999999995E-2</v>
      </c>
      <c r="H171" s="412">
        <f>'Templ-Mats'!G73</f>
        <v>3.2</v>
      </c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412"/>
      <c r="AA171" s="412"/>
      <c r="AB171" s="412"/>
      <c r="AC171" s="412"/>
      <c r="AD171" s="412"/>
    </row>
    <row r="172" spans="1:30">
      <c r="A172" s="412"/>
      <c r="B172" s="412"/>
      <c r="C172" s="412" t="str">
        <f>'Templ-Mats'!B74</f>
        <v>AF22</v>
      </c>
      <c r="D172" s="412" t="str">
        <f>'Templ-Mats'!C74</f>
        <v>Homogeneous board from repulped paper</v>
      </c>
      <c r="E172" s="412"/>
      <c r="F172" s="418">
        <f t="shared" si="10"/>
        <v>4.4444444444444453E-2</v>
      </c>
      <c r="G172" s="412">
        <f>'Templ-Mats'!J74</f>
        <v>7.1999999999999995E-2</v>
      </c>
      <c r="H172" s="412">
        <f>'Templ-Mats'!G74</f>
        <v>3.2</v>
      </c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412"/>
      <c r="AA172" s="412"/>
      <c r="AB172" s="412"/>
      <c r="AC172" s="412"/>
      <c r="AD172" s="412"/>
    </row>
    <row r="173" spans="1:30">
      <c r="A173" s="412"/>
      <c r="B173" s="412"/>
      <c r="C173" s="412" t="str">
        <f>'Templ-Mats'!B75</f>
        <v>AF23</v>
      </c>
      <c r="D173" s="412" t="str">
        <f>'Templ-Mats'!C75</f>
        <v>Hardboard Medium density</v>
      </c>
      <c r="E173" s="412"/>
      <c r="F173" s="418">
        <f t="shared" si="10"/>
        <v>0.18095238095238095</v>
      </c>
      <c r="G173" s="412">
        <f>'Templ-Mats'!J75</f>
        <v>0.105</v>
      </c>
      <c r="H173" s="412">
        <f>'Templ-Mats'!G75</f>
        <v>19</v>
      </c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  <c r="S173" s="412"/>
      <c r="T173" s="412"/>
      <c r="U173" s="412"/>
      <c r="V173" s="412"/>
      <c r="W173" s="412"/>
      <c r="X173" s="412"/>
      <c r="Y173" s="412"/>
      <c r="Z173" s="412"/>
      <c r="AA173" s="412"/>
      <c r="AB173" s="412"/>
      <c r="AC173" s="412"/>
      <c r="AD173" s="412"/>
    </row>
    <row r="174" spans="1:30">
      <c r="A174" s="412"/>
      <c r="B174" s="412"/>
      <c r="C174" s="412" t="str">
        <f>'Templ-Mats'!B76</f>
        <v>AF24</v>
      </c>
      <c r="D174" s="412" t="str">
        <f>'Templ-Mats'!C76</f>
        <v>Hardboard High density - service-tempered grade and service grade</v>
      </c>
      <c r="E174" s="412"/>
      <c r="F174" s="418">
        <f t="shared" si="10"/>
        <v>2.3170731707317073E-2</v>
      </c>
      <c r="G174" s="412">
        <f>'Templ-Mats'!J76</f>
        <v>0.82</v>
      </c>
      <c r="H174" s="412">
        <f>'Templ-Mats'!G76</f>
        <v>19</v>
      </c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  <c r="S174" s="412"/>
      <c r="T174" s="412"/>
      <c r="U174" s="412"/>
      <c r="V174" s="412"/>
      <c r="W174" s="412"/>
      <c r="X174" s="412"/>
      <c r="Y174" s="412"/>
      <c r="Z174" s="412"/>
      <c r="AA174" s="412"/>
      <c r="AB174" s="412"/>
      <c r="AC174" s="412"/>
      <c r="AD174" s="412"/>
    </row>
    <row r="175" spans="1:30">
      <c r="A175" s="412"/>
      <c r="B175" s="412"/>
      <c r="C175" s="412" t="str">
        <f>'Templ-Mats'!B77</f>
        <v>AF25</v>
      </c>
      <c r="D175" s="412" t="str">
        <f>'Templ-Mats'!C77</f>
        <v>Hardboard High density - standard-tempered grade</v>
      </c>
      <c r="E175" s="412"/>
      <c r="F175" s="418">
        <f t="shared" si="10"/>
        <v>0.13194444444444445</v>
      </c>
      <c r="G175" s="412">
        <f>'Templ-Mats'!J77</f>
        <v>0.14399999999999999</v>
      </c>
      <c r="H175" s="412">
        <f>'Templ-Mats'!G77</f>
        <v>19</v>
      </c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412"/>
      <c r="Z175" s="412"/>
      <c r="AA175" s="412"/>
      <c r="AB175" s="412"/>
      <c r="AC175" s="412"/>
      <c r="AD175" s="412"/>
    </row>
    <row r="176" spans="1:30">
      <c r="A176" s="412"/>
      <c r="B176" s="412"/>
      <c r="C176" s="412" t="str">
        <f>'Templ-Mats'!B78</f>
        <v>AF26</v>
      </c>
      <c r="D176" s="412" t="str">
        <f>'Templ-Mats'!C78</f>
        <v>Particleboard Low density</v>
      </c>
      <c r="E176" s="412"/>
      <c r="F176" s="418">
        <f t="shared" si="10"/>
        <v>0.18627450980392157</v>
      </c>
      <c r="G176" s="412">
        <f>'Templ-Mats'!J78</f>
        <v>0.10199999999999999</v>
      </c>
      <c r="H176" s="412">
        <f>'Templ-Mats'!G78</f>
        <v>19</v>
      </c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412"/>
      <c r="AA176" s="412"/>
      <c r="AB176" s="412"/>
      <c r="AC176" s="412"/>
      <c r="AD176" s="412"/>
    </row>
    <row r="177" spans="1:30">
      <c r="A177" s="412"/>
      <c r="B177" s="412"/>
      <c r="C177" s="412" t="str">
        <f>'Templ-Mats'!B79</f>
        <v>AF27</v>
      </c>
      <c r="D177" s="412" t="str">
        <f>'Templ-Mats'!C79</f>
        <v>Particleboard Medium density</v>
      </c>
      <c r="E177" s="412"/>
      <c r="F177" s="418">
        <f t="shared" si="10"/>
        <v>0.14074074074074072</v>
      </c>
      <c r="G177" s="412">
        <f>'Templ-Mats'!J79</f>
        <v>0.13500000000000001</v>
      </c>
      <c r="H177" s="412">
        <f>'Templ-Mats'!G79</f>
        <v>19</v>
      </c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412"/>
      <c r="AA177" s="412"/>
      <c r="AB177" s="412"/>
      <c r="AC177" s="412"/>
      <c r="AD177" s="412"/>
    </row>
    <row r="178" spans="1:30">
      <c r="A178" s="412"/>
      <c r="B178" s="412"/>
      <c r="C178" s="412" t="str">
        <f>'Templ-Mats'!B80</f>
        <v>AF28</v>
      </c>
      <c r="D178" s="412" t="str">
        <f>'Templ-Mats'!C80</f>
        <v>Particleboard High density</v>
      </c>
      <c r="E178" s="412"/>
      <c r="F178" s="418">
        <f t="shared" si="10"/>
        <v>0.11176470588235293</v>
      </c>
      <c r="G178" s="412">
        <f>'Templ-Mats'!J80</f>
        <v>0.17</v>
      </c>
      <c r="H178" s="412">
        <f>'Templ-Mats'!G80</f>
        <v>19</v>
      </c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412"/>
      <c r="Z178" s="412"/>
      <c r="AA178" s="412"/>
      <c r="AB178" s="412"/>
      <c r="AC178" s="412"/>
      <c r="AD178" s="412"/>
    </row>
    <row r="179" spans="1:30">
      <c r="A179" s="412"/>
      <c r="B179" s="412"/>
      <c r="C179" s="412" t="str">
        <f>'Templ-Mats'!B81</f>
        <v>AF29</v>
      </c>
      <c r="D179" s="412" t="str">
        <f>'Templ-Mats'!C81</f>
        <v>Particleboard Underlayment - 15.9mm</v>
      </c>
      <c r="E179" s="412"/>
      <c r="F179" s="418">
        <f t="shared" si="10"/>
        <v>5.1125401929260454E-2</v>
      </c>
      <c r="G179" s="412">
        <f>'Templ-Mats'!J81</f>
        <v>0.311</v>
      </c>
      <c r="H179" s="412">
        <f>'Templ-Mats'!G81</f>
        <v>15.9</v>
      </c>
      <c r="I179" s="412" t="str">
        <f>IF('Templ-Cons'!L106="","",'Templ-Cons'!L106)</f>
        <v/>
      </c>
      <c r="J179" s="412" t="str">
        <f>IF('Templ-Cons'!F106="","",'Templ-Cons'!F106)</f>
        <v/>
      </c>
      <c r="K179" s="412" t="str">
        <f>IF('Templ-Cons'!H106="","",'Templ-Cons'!H106)</f>
        <v/>
      </c>
      <c r="L179" s="412" t="str">
        <f>IF('Templ-Cons'!G106="","",'Templ-Cons'!G106)</f>
        <v/>
      </c>
      <c r="M179" s="412" t="str">
        <f>IF('Templ-Cons'!H106="","",'Templ-Cons'!H106)</f>
        <v/>
      </c>
      <c r="N179" s="412" t="str">
        <f>IF('Templ-Cons'!I106="","",'Templ-Cons'!I106)</f>
        <v/>
      </c>
      <c r="O179" s="412"/>
      <c r="P179" s="412"/>
      <c r="Q179" s="412"/>
      <c r="R179" s="412"/>
      <c r="S179" s="412"/>
      <c r="T179" s="412"/>
      <c r="U179" s="412"/>
      <c r="V179" s="412"/>
      <c r="W179" s="412"/>
      <c r="X179" s="412"/>
      <c r="Y179" s="412"/>
      <c r="Z179" s="412"/>
      <c r="AA179" s="412"/>
      <c r="AB179" s="412"/>
      <c r="AC179" s="412"/>
      <c r="AD179" s="412"/>
    </row>
    <row r="180" spans="1:30">
      <c r="A180" s="412"/>
      <c r="B180" s="412"/>
      <c r="C180" s="412" t="str">
        <f>'Templ-Mats'!B82</f>
        <v>AF30</v>
      </c>
      <c r="D180" s="412" t="str">
        <f>'Templ-Mats'!C82</f>
        <v>Waferboard</v>
      </c>
      <c r="E180" s="412"/>
      <c r="F180" s="418">
        <f t="shared" si="10"/>
        <v>0.2087912087912088</v>
      </c>
      <c r="G180" s="412">
        <f>'Templ-Mats'!J82</f>
        <v>9.0999999999999998E-2</v>
      </c>
      <c r="H180" s="412">
        <f>'Templ-Mats'!G82</f>
        <v>19</v>
      </c>
      <c r="I180" s="412" t="str">
        <f>IF('Templ-Cons'!L107="","",'Templ-Cons'!L107)</f>
        <v/>
      </c>
      <c r="J180" s="412" t="str">
        <f>IF('Templ-Cons'!F107="","",'Templ-Cons'!F107)</f>
        <v/>
      </c>
      <c r="K180" s="412" t="str">
        <f>IF('Templ-Cons'!H107="","",'Templ-Cons'!H107)</f>
        <v/>
      </c>
      <c r="L180" s="412" t="str">
        <f>IF('Templ-Cons'!G107="","",'Templ-Cons'!G107)</f>
        <v/>
      </c>
      <c r="M180" s="412" t="str">
        <f>IF('Templ-Cons'!H107="","",'Templ-Cons'!H107)</f>
        <v/>
      </c>
      <c r="N180" s="412" t="str">
        <f>IF('Templ-Cons'!I107="","",'Templ-Cons'!I107)</f>
        <v/>
      </c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12"/>
      <c r="AB180" s="412"/>
      <c r="AC180" s="412"/>
      <c r="AD180" s="412"/>
    </row>
    <row r="181" spans="1:30">
      <c r="A181" s="412"/>
      <c r="B181" s="412"/>
      <c r="C181" s="412" t="str">
        <f>'Templ-Mats'!B83</f>
        <v>AF31</v>
      </c>
      <c r="D181" s="412" t="str">
        <f>'Templ-Mats'!C83</f>
        <v>Insulation: Cellular glass - 25mm</v>
      </c>
      <c r="E181" s="412"/>
      <c r="F181" s="418">
        <f t="shared" si="10"/>
        <v>0.5</v>
      </c>
      <c r="G181" s="412">
        <f>'Templ-Mats'!J83</f>
        <v>0.05</v>
      </c>
      <c r="H181" s="412">
        <f>'Templ-Mats'!G83</f>
        <v>25</v>
      </c>
      <c r="I181" s="412" t="str">
        <f>IF('Templ-Cons'!L108="","",'Templ-Cons'!L108)</f>
        <v/>
      </c>
      <c r="J181" s="412" t="str">
        <f>IF('Templ-Cons'!F108="","",'Templ-Cons'!F108)</f>
        <v/>
      </c>
      <c r="K181" s="412" t="str">
        <f>IF('Templ-Cons'!H108="","",'Templ-Cons'!H108)</f>
        <v/>
      </c>
      <c r="L181" s="412" t="str">
        <f>IF('Templ-Cons'!G108="","",'Templ-Cons'!G108)</f>
        <v/>
      </c>
      <c r="M181" s="412" t="str">
        <f>IF('Templ-Cons'!H108="","",'Templ-Cons'!H108)</f>
        <v/>
      </c>
      <c r="N181" s="412" t="str">
        <f>IF('Templ-Cons'!I108="","",'Templ-Cons'!I108)</f>
        <v/>
      </c>
      <c r="O181" s="412"/>
      <c r="P181" s="412"/>
      <c r="Q181" s="412"/>
      <c r="R181" s="412"/>
      <c r="S181" s="412"/>
      <c r="T181" s="412"/>
      <c r="U181" s="412"/>
      <c r="V181" s="412"/>
      <c r="W181" s="412"/>
      <c r="X181" s="412"/>
      <c r="Y181" s="412"/>
      <c r="Z181" s="412"/>
      <c r="AA181" s="412"/>
      <c r="AB181" s="412"/>
      <c r="AC181" s="412"/>
      <c r="AD181" s="412"/>
    </row>
    <row r="182" spans="1:30">
      <c r="A182" s="412"/>
      <c r="B182" s="412"/>
      <c r="C182" s="412" t="str">
        <f>'Templ-Mats'!B84</f>
        <v>AF32</v>
      </c>
      <c r="D182" s="412" t="str">
        <f>'Templ-Mats'!C84</f>
        <v>Insulation: Cellular glass - 50mm</v>
      </c>
      <c r="E182" s="412"/>
      <c r="F182" s="418">
        <f t="shared" si="10"/>
        <v>1</v>
      </c>
      <c r="G182" s="412">
        <f>'Templ-Mats'!J84</f>
        <v>0.05</v>
      </c>
      <c r="H182" s="412">
        <f>'Templ-Mats'!G84</f>
        <v>50</v>
      </c>
      <c r="I182" s="412" t="str">
        <f>IF('Templ-Cons'!L109="","",'Templ-Cons'!L109)</f>
        <v/>
      </c>
      <c r="J182" s="412" t="str">
        <f>IF('Templ-Cons'!F109="","",'Templ-Cons'!F109)</f>
        <v/>
      </c>
      <c r="K182" s="412" t="str">
        <f>IF('Templ-Cons'!H109="","",'Templ-Cons'!H109)</f>
        <v/>
      </c>
      <c r="L182" s="412" t="str">
        <f>IF('Templ-Cons'!G109="","",'Templ-Cons'!G109)</f>
        <v/>
      </c>
      <c r="M182" s="412" t="str">
        <f>IF('Templ-Cons'!H109="","",'Templ-Cons'!H109)</f>
        <v/>
      </c>
      <c r="N182" s="412" t="str">
        <f>IF('Templ-Cons'!I109="","",'Templ-Cons'!I109)</f>
        <v/>
      </c>
      <c r="O182" s="412"/>
      <c r="P182" s="412"/>
      <c r="Q182" s="412"/>
      <c r="R182" s="412"/>
      <c r="S182" s="412"/>
      <c r="T182" s="412"/>
      <c r="U182" s="412"/>
      <c r="V182" s="412"/>
      <c r="W182" s="412"/>
      <c r="X182" s="412"/>
      <c r="Y182" s="412"/>
      <c r="Z182" s="412"/>
      <c r="AA182" s="412"/>
      <c r="AB182" s="412"/>
      <c r="AC182" s="412"/>
      <c r="AD182" s="412"/>
    </row>
    <row r="183" spans="1:30">
      <c r="A183" s="412"/>
      <c r="B183" s="412"/>
      <c r="C183" s="412" t="str">
        <f>'Templ-Mats'!B85</f>
        <v>AF33</v>
      </c>
      <c r="D183" s="412" t="str">
        <f>'Templ-Mats'!C85</f>
        <v>Insulation: Cellular glass - 75mm</v>
      </c>
      <c r="E183" s="412"/>
      <c r="F183" s="418">
        <f t="shared" si="10"/>
        <v>1.4999999999999998</v>
      </c>
      <c r="G183" s="412">
        <f>'Templ-Mats'!J85</f>
        <v>0.05</v>
      </c>
      <c r="H183" s="412">
        <f>'Templ-Mats'!G85</f>
        <v>75</v>
      </c>
      <c r="I183" s="412" t="str">
        <f>IF('Templ-Cons'!L110="","",'Templ-Cons'!L110)</f>
        <v/>
      </c>
      <c r="J183" s="412" t="str">
        <f>IF('Templ-Cons'!F110="","",'Templ-Cons'!F110)</f>
        <v/>
      </c>
      <c r="K183" s="412" t="str">
        <f>IF('Templ-Cons'!H110="","",'Templ-Cons'!H110)</f>
        <v/>
      </c>
      <c r="L183" s="412" t="str">
        <f>IF('Templ-Cons'!G110="","",'Templ-Cons'!G110)</f>
        <v/>
      </c>
      <c r="M183" s="412" t="str">
        <f>IF('Templ-Cons'!H110="","",'Templ-Cons'!H110)</f>
        <v/>
      </c>
      <c r="N183" s="412" t="str">
        <f>IF('Templ-Cons'!I110="","",'Templ-Cons'!I110)</f>
        <v/>
      </c>
      <c r="O183" s="412"/>
      <c r="P183" s="412"/>
      <c r="Q183" s="412"/>
      <c r="R183" s="412"/>
      <c r="S183" s="412"/>
      <c r="T183" s="412"/>
      <c r="U183" s="412"/>
      <c r="V183" s="412"/>
      <c r="W183" s="412"/>
      <c r="X183" s="412"/>
      <c r="Y183" s="412"/>
      <c r="Z183" s="412"/>
      <c r="AA183" s="412"/>
      <c r="AB183" s="412"/>
      <c r="AC183" s="412"/>
      <c r="AD183" s="412"/>
    </row>
    <row r="184" spans="1:30">
      <c r="A184" s="412"/>
      <c r="B184" s="412"/>
      <c r="C184" s="412" t="str">
        <f>'Templ-Mats'!B86</f>
        <v>AF34</v>
      </c>
      <c r="D184" s="412" t="str">
        <f>'Templ-Mats'!C86</f>
        <v>Insulation: Glass fiber - organic bonded - 25mm</v>
      </c>
      <c r="E184" s="412"/>
      <c r="F184" s="418">
        <f t="shared" si="10"/>
        <v>0.69444444444444453</v>
      </c>
      <c r="G184" s="412">
        <f>'Templ-Mats'!J86</f>
        <v>3.5999999999999997E-2</v>
      </c>
      <c r="H184" s="412">
        <f>'Templ-Mats'!G86</f>
        <v>25</v>
      </c>
      <c r="I184" s="412" t="str">
        <f>IF('Templ-Cons'!L111="","",'Templ-Cons'!L111)</f>
        <v/>
      </c>
      <c r="J184" s="412" t="str">
        <f>IF('Templ-Cons'!F111="","",'Templ-Cons'!F111)</f>
        <v/>
      </c>
      <c r="K184" s="412" t="str">
        <f>IF('Templ-Cons'!H111="","",'Templ-Cons'!H111)</f>
        <v/>
      </c>
      <c r="L184" s="412" t="str">
        <f>IF('Templ-Cons'!G111="","",'Templ-Cons'!G111)</f>
        <v/>
      </c>
      <c r="M184" s="412" t="str">
        <f>IF('Templ-Cons'!H111="","",'Templ-Cons'!H111)</f>
        <v/>
      </c>
      <c r="N184" s="412" t="str">
        <f>IF('Templ-Cons'!I111="","",'Templ-Cons'!I111)</f>
        <v/>
      </c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412"/>
      <c r="AB184" s="412"/>
      <c r="AC184" s="412"/>
      <c r="AD184" s="412"/>
    </row>
    <row r="185" spans="1:30">
      <c r="A185" s="412"/>
      <c r="B185" s="412"/>
      <c r="C185" s="412" t="str">
        <f>'Templ-Mats'!B87</f>
        <v>AF35</v>
      </c>
      <c r="D185" s="412" t="str">
        <f>'Templ-Mats'!C87</f>
        <v>Insulation: Glass fiber - organic bonded - 50mm</v>
      </c>
      <c r="E185" s="412"/>
      <c r="F185" s="418">
        <f t="shared" si="10"/>
        <v>1.3888888888888891</v>
      </c>
      <c r="G185" s="412">
        <f>'Templ-Mats'!J87</f>
        <v>3.5999999999999997E-2</v>
      </c>
      <c r="H185" s="412">
        <f>'Templ-Mats'!G87</f>
        <v>50</v>
      </c>
      <c r="I185" s="412" t="str">
        <f>IF('Templ-Cons'!L112="","",'Templ-Cons'!L112)</f>
        <v/>
      </c>
      <c r="J185" s="412" t="str">
        <f>IF('Templ-Cons'!F112="","",'Templ-Cons'!F112)</f>
        <v/>
      </c>
      <c r="K185" s="412" t="str">
        <f>IF('Templ-Cons'!H112="","",'Templ-Cons'!H112)</f>
        <v/>
      </c>
      <c r="L185" s="412" t="str">
        <f>IF('Templ-Cons'!G112="","",'Templ-Cons'!G112)</f>
        <v/>
      </c>
      <c r="M185" s="412" t="str">
        <f>IF('Templ-Cons'!H112="","",'Templ-Cons'!H112)</f>
        <v/>
      </c>
      <c r="N185" s="412" t="str">
        <f>IF('Templ-Cons'!I112="","",'Templ-Cons'!I112)</f>
        <v/>
      </c>
      <c r="O185" s="412"/>
      <c r="P185" s="412"/>
      <c r="Q185" s="412"/>
      <c r="R185" s="412"/>
      <c r="S185" s="412"/>
      <c r="T185" s="412"/>
      <c r="U185" s="412"/>
      <c r="V185" s="412"/>
      <c r="W185" s="412"/>
      <c r="X185" s="412"/>
      <c r="Y185" s="412"/>
      <c r="Z185" s="412"/>
      <c r="AA185" s="412"/>
      <c r="AB185" s="412"/>
      <c r="AC185" s="412"/>
      <c r="AD185" s="412"/>
    </row>
    <row r="186" spans="1:30">
      <c r="A186" s="412"/>
      <c r="B186" s="412"/>
      <c r="C186" s="412" t="str">
        <f>'Templ-Mats'!B88</f>
        <v>AF36</v>
      </c>
      <c r="D186" s="412" t="str">
        <f>'Templ-Mats'!C88</f>
        <v>Insulation: Glass fiber - organic bonded - 75mm</v>
      </c>
      <c r="E186" s="412"/>
      <c r="F186" s="418">
        <f t="shared" si="10"/>
        <v>2.0833333333333335</v>
      </c>
      <c r="G186" s="412">
        <f>'Templ-Mats'!J88</f>
        <v>3.5999999999999997E-2</v>
      </c>
      <c r="H186" s="412">
        <f>'Templ-Mats'!G88</f>
        <v>75</v>
      </c>
      <c r="I186" s="412" t="str">
        <f>IF('Templ-Cons'!L113="","",'Templ-Cons'!L113)</f>
        <v/>
      </c>
      <c r="J186" s="412" t="str">
        <f>IF('Templ-Cons'!F113="","",'Templ-Cons'!F113)</f>
        <v/>
      </c>
      <c r="K186" s="412" t="str">
        <f>IF('Templ-Cons'!H113="","",'Templ-Cons'!H113)</f>
        <v/>
      </c>
      <c r="L186" s="412" t="str">
        <f>IF('Templ-Cons'!G113="","",'Templ-Cons'!G113)</f>
        <v/>
      </c>
      <c r="M186" s="412" t="str">
        <f>IF('Templ-Cons'!H113="","",'Templ-Cons'!H113)</f>
        <v/>
      </c>
      <c r="N186" s="412" t="str">
        <f>IF('Templ-Cons'!I113="","",'Templ-Cons'!I113)</f>
        <v/>
      </c>
      <c r="O186" s="412"/>
      <c r="P186" s="412"/>
      <c r="Q186" s="412"/>
      <c r="R186" s="412"/>
      <c r="S186" s="412"/>
      <c r="T186" s="412"/>
      <c r="U186" s="412"/>
      <c r="V186" s="412"/>
      <c r="W186" s="412"/>
      <c r="X186" s="412"/>
      <c r="Y186" s="412"/>
      <c r="Z186" s="412"/>
      <c r="AA186" s="412"/>
      <c r="AB186" s="412"/>
      <c r="AC186" s="412"/>
      <c r="AD186" s="412"/>
    </row>
    <row r="187" spans="1:30">
      <c r="A187" s="412"/>
      <c r="B187" s="412"/>
      <c r="C187" s="412" t="str">
        <f>'Templ-Mats'!B89</f>
        <v>AF37</v>
      </c>
      <c r="D187" s="412" t="str">
        <f>'Templ-Mats'!C89</f>
        <v>Insulation: Expanded perlite - organic bonded - 25mm</v>
      </c>
      <c r="E187" s="412"/>
      <c r="F187" s="418">
        <f t="shared" si="10"/>
        <v>0.48076923076923084</v>
      </c>
      <c r="G187" s="412">
        <f>'Templ-Mats'!J89</f>
        <v>5.1999999999999998E-2</v>
      </c>
      <c r="H187" s="412">
        <f>'Templ-Mats'!G89</f>
        <v>25</v>
      </c>
      <c r="I187" s="412" t="str">
        <f>IF('Templ-Cons'!L114="","",'Templ-Cons'!L114)</f>
        <v/>
      </c>
      <c r="J187" s="412" t="str">
        <f>IF('Templ-Cons'!F114="","",'Templ-Cons'!F114)</f>
        <v/>
      </c>
      <c r="K187" s="412" t="str">
        <f>IF('Templ-Cons'!H114="","",'Templ-Cons'!H114)</f>
        <v/>
      </c>
      <c r="L187" s="412" t="str">
        <f>IF('Templ-Cons'!G114="","",'Templ-Cons'!G114)</f>
        <v/>
      </c>
      <c r="M187" s="412" t="str">
        <f>IF('Templ-Cons'!H114="","",'Templ-Cons'!H114)</f>
        <v/>
      </c>
      <c r="N187" s="412" t="str">
        <f>IF('Templ-Cons'!I114="","",'Templ-Cons'!I114)</f>
        <v/>
      </c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412"/>
      <c r="AA187" s="412"/>
      <c r="AB187" s="412"/>
      <c r="AC187" s="412"/>
      <c r="AD187" s="412"/>
    </row>
    <row r="188" spans="1:30">
      <c r="A188" s="412"/>
      <c r="B188" s="412"/>
      <c r="C188" s="412" t="str">
        <f>'Templ-Mats'!B90</f>
        <v>AF38</v>
      </c>
      <c r="D188" s="412" t="str">
        <f>'Templ-Mats'!C90</f>
        <v>Insulation: Expanded rubber (rigid) - 25mm</v>
      </c>
      <c r="E188" s="412"/>
      <c r="F188" s="418">
        <f t="shared" si="10"/>
        <v>0.78125</v>
      </c>
      <c r="G188" s="412">
        <f>'Templ-Mats'!J90</f>
        <v>3.2000000000000001E-2</v>
      </c>
      <c r="H188" s="412">
        <f>'Templ-Mats'!G90</f>
        <v>25</v>
      </c>
      <c r="I188" s="412" t="str">
        <f>IF('Templ-Cons'!L115="","",'Templ-Cons'!L115)</f>
        <v/>
      </c>
      <c r="J188" s="412" t="str">
        <f>IF('Templ-Cons'!F115="","",'Templ-Cons'!F115)</f>
        <v/>
      </c>
      <c r="K188" s="412" t="str">
        <f>IF('Templ-Cons'!H115="","",'Templ-Cons'!H115)</f>
        <v/>
      </c>
      <c r="L188" s="412" t="str">
        <f>IF('Templ-Cons'!G115="","",'Templ-Cons'!G115)</f>
        <v/>
      </c>
      <c r="M188" s="412" t="str">
        <f>IF('Templ-Cons'!H115="","",'Templ-Cons'!H115)</f>
        <v/>
      </c>
      <c r="N188" s="412" t="str">
        <f>IF('Templ-Cons'!I115="","",'Templ-Cons'!I115)</f>
        <v/>
      </c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412"/>
      <c r="AA188" s="412"/>
      <c r="AB188" s="412"/>
      <c r="AC188" s="412"/>
      <c r="AD188" s="412"/>
    </row>
    <row r="189" spans="1:30">
      <c r="A189" s="412"/>
      <c r="B189" s="412"/>
      <c r="C189" s="412" t="str">
        <f>'Templ-Mats'!B91</f>
        <v>AF39</v>
      </c>
      <c r="D189" s="412" t="str">
        <f>'Templ-Mats'!C91</f>
        <v>Insulation: Expanded polystyrene - extruded (smooth skin surface) (CFC-12 exp.)</v>
      </c>
      <c r="E189" s="412"/>
      <c r="F189" s="418">
        <f t="shared" si="10"/>
        <v>0.86206896551724144</v>
      </c>
      <c r="G189" s="412">
        <f>'Templ-Mats'!J91</f>
        <v>2.9000000000000001E-2</v>
      </c>
      <c r="H189" s="412">
        <f>'Templ-Mats'!G91</f>
        <v>25</v>
      </c>
      <c r="I189" s="412" t="str">
        <f>IF('Templ-Cons'!L116="","",'Templ-Cons'!L116)</f>
        <v/>
      </c>
      <c r="J189" s="412" t="str">
        <f>IF('Templ-Cons'!F116="","",'Templ-Cons'!F116)</f>
        <v/>
      </c>
      <c r="K189" s="412" t="str">
        <f>IF('Templ-Cons'!H116="","",'Templ-Cons'!H116)</f>
        <v/>
      </c>
      <c r="L189" s="412" t="str">
        <f>IF('Templ-Cons'!G116="","",'Templ-Cons'!G116)</f>
        <v/>
      </c>
      <c r="M189" s="412" t="str">
        <f>IF('Templ-Cons'!H116="","",'Templ-Cons'!H116)</f>
        <v/>
      </c>
      <c r="N189" s="412" t="str">
        <f>IF('Templ-Cons'!I116="","",'Templ-Cons'!I116)</f>
        <v/>
      </c>
      <c r="O189" s="412"/>
      <c r="P189" s="412"/>
      <c r="Q189" s="412"/>
      <c r="R189" s="412"/>
      <c r="S189" s="412"/>
      <c r="T189" s="412"/>
      <c r="U189" s="412"/>
      <c r="V189" s="412"/>
      <c r="W189" s="412"/>
      <c r="X189" s="412"/>
      <c r="Y189" s="412"/>
      <c r="Z189" s="412"/>
      <c r="AA189" s="412"/>
      <c r="AB189" s="412"/>
      <c r="AC189" s="412"/>
      <c r="AD189" s="412"/>
    </row>
    <row r="190" spans="1:30">
      <c r="A190" s="412"/>
      <c r="B190" s="412"/>
      <c r="C190" s="412" t="str">
        <f>'Templ-Mats'!B92</f>
        <v>AF40</v>
      </c>
      <c r="D190" s="412" t="str">
        <f>'Templ-Mats'!C92</f>
        <v>Insulation: Expanded polystyrene - extruded (smooth skin surface) (HCFC-142b exp.)</v>
      </c>
      <c r="E190" s="412"/>
      <c r="F190" s="418">
        <f t="shared" si="10"/>
        <v>0.86206896551724144</v>
      </c>
      <c r="G190" s="412">
        <f>'Templ-Mats'!J92</f>
        <v>2.9000000000000001E-2</v>
      </c>
      <c r="H190" s="412">
        <f>'Templ-Mats'!G92</f>
        <v>25</v>
      </c>
      <c r="I190" s="412" t="str">
        <f>IF('Templ-Cons'!L117="","",'Templ-Cons'!L117)</f>
        <v/>
      </c>
      <c r="J190" s="412" t="str">
        <f>IF('Templ-Cons'!F117="","",'Templ-Cons'!F117)</f>
        <v/>
      </c>
      <c r="K190" s="412" t="str">
        <f>IF('Templ-Cons'!H117="","",'Templ-Cons'!H117)</f>
        <v/>
      </c>
      <c r="L190" s="412" t="str">
        <f>IF('Templ-Cons'!G117="","",'Templ-Cons'!G117)</f>
        <v/>
      </c>
      <c r="M190" s="412" t="str">
        <f>IF('Templ-Cons'!H117="","",'Templ-Cons'!H117)</f>
        <v/>
      </c>
      <c r="N190" s="412" t="str">
        <f>IF('Templ-Cons'!I117="","",'Templ-Cons'!I117)</f>
        <v/>
      </c>
      <c r="O190" s="412"/>
      <c r="P190" s="412"/>
      <c r="Q190" s="412"/>
      <c r="R190" s="412"/>
      <c r="S190" s="412"/>
      <c r="T190" s="412"/>
      <c r="U190" s="412"/>
      <c r="V190" s="412"/>
      <c r="W190" s="412"/>
      <c r="X190" s="412"/>
      <c r="Y190" s="412"/>
      <c r="Z190" s="412"/>
      <c r="AA190" s="412"/>
      <c r="AB190" s="412"/>
      <c r="AC190" s="412"/>
      <c r="AD190" s="412"/>
    </row>
    <row r="191" spans="1:30">
      <c r="A191" s="412"/>
      <c r="B191" s="412"/>
      <c r="C191" s="412" t="str">
        <f>'Templ-Mats'!B93</f>
        <v>AF41</v>
      </c>
      <c r="D191" s="412" t="str">
        <f>'Templ-Mats'!C93</f>
        <v>Insulation: Expanded polystyrene - molded beads - 16kg/m3 density</v>
      </c>
      <c r="E191" s="412"/>
      <c r="F191" s="418">
        <f t="shared" si="10"/>
        <v>0.67567567567567577</v>
      </c>
      <c r="G191" s="412">
        <f>'Templ-Mats'!J93</f>
        <v>3.6999999999999998E-2</v>
      </c>
      <c r="H191" s="412">
        <f>'Templ-Mats'!G93</f>
        <v>25</v>
      </c>
      <c r="I191" s="412" t="str">
        <f>IF('Templ-Cons'!L118="","",'Templ-Cons'!L118)</f>
        <v/>
      </c>
      <c r="J191" s="412" t="str">
        <f>IF('Templ-Cons'!F118="","",'Templ-Cons'!F118)</f>
        <v/>
      </c>
      <c r="K191" s="412" t="str">
        <f>IF('Templ-Cons'!H118="","",'Templ-Cons'!H118)</f>
        <v/>
      </c>
      <c r="L191" s="412" t="str">
        <f>IF('Templ-Cons'!G118="","",'Templ-Cons'!G118)</f>
        <v/>
      </c>
      <c r="M191" s="412" t="str">
        <f>IF('Templ-Cons'!H118="","",'Templ-Cons'!H118)</f>
        <v/>
      </c>
      <c r="N191" s="412" t="str">
        <f>IF('Templ-Cons'!I118="","",'Templ-Cons'!I118)</f>
        <v/>
      </c>
      <c r="O191" s="412"/>
      <c r="P191" s="412"/>
      <c r="Q191" s="412"/>
      <c r="R191" s="412"/>
      <c r="S191" s="412"/>
      <c r="T191" s="412"/>
      <c r="U191" s="412"/>
      <c r="V191" s="412"/>
      <c r="W191" s="412"/>
      <c r="X191" s="412"/>
      <c r="Y191" s="412"/>
      <c r="Z191" s="412"/>
      <c r="AA191" s="412"/>
      <c r="AB191" s="412"/>
      <c r="AC191" s="412"/>
      <c r="AD191" s="412"/>
    </row>
    <row r="192" spans="1:30">
      <c r="A192" s="412"/>
      <c r="B192" s="412"/>
      <c r="C192" s="412" t="str">
        <f>'Templ-Mats'!B94</f>
        <v>AF42</v>
      </c>
      <c r="D192" s="412" t="str">
        <f>'Templ-Mats'!C94</f>
        <v>Insulation: Expanded polystyrene - molded beads - 20kg/m3 density</v>
      </c>
      <c r="E192" s="412"/>
      <c r="F192" s="418">
        <f t="shared" si="10"/>
        <v>0.69444444444444453</v>
      </c>
      <c r="G192" s="412">
        <f>'Templ-Mats'!J94</f>
        <v>3.5999999999999997E-2</v>
      </c>
      <c r="H192" s="412">
        <f>'Templ-Mats'!G94</f>
        <v>25</v>
      </c>
      <c r="I192" s="412" t="str">
        <f>IF('Templ-Cons'!L119="","",'Templ-Cons'!L119)</f>
        <v/>
      </c>
      <c r="J192" s="412" t="str">
        <f>IF('Templ-Cons'!F119="","",'Templ-Cons'!F119)</f>
        <v/>
      </c>
      <c r="K192" s="412" t="str">
        <f>IF('Templ-Cons'!H119="","",'Templ-Cons'!H119)</f>
        <v/>
      </c>
      <c r="L192" s="412" t="str">
        <f>IF('Templ-Cons'!G119="","",'Templ-Cons'!G119)</f>
        <v/>
      </c>
      <c r="M192" s="412" t="str">
        <f>IF('Templ-Cons'!H119="","",'Templ-Cons'!H119)</f>
        <v/>
      </c>
      <c r="N192" s="412" t="str">
        <f>IF('Templ-Cons'!I119="","",'Templ-Cons'!I119)</f>
        <v/>
      </c>
      <c r="O192" s="412"/>
      <c r="P192" s="412"/>
      <c r="Q192" s="412"/>
      <c r="R192" s="412"/>
      <c r="S192" s="412"/>
      <c r="T192" s="412"/>
      <c r="U192" s="412"/>
      <c r="V192" s="412"/>
      <c r="W192" s="412"/>
      <c r="X192" s="412"/>
      <c r="Y192" s="412"/>
      <c r="Z192" s="412"/>
      <c r="AA192" s="412"/>
      <c r="AB192" s="412"/>
      <c r="AC192" s="412"/>
      <c r="AD192" s="412"/>
    </row>
    <row r="193" spans="1:30">
      <c r="A193" s="412"/>
      <c r="B193" s="412"/>
      <c r="C193" s="412" t="str">
        <f>'Templ-Mats'!B95</f>
        <v>AF43</v>
      </c>
      <c r="D193" s="412" t="str">
        <f>'Templ-Mats'!C95</f>
        <v>Insulation: Expanded polystyrene - molded beads - 24kg/m3 density</v>
      </c>
      <c r="E193" s="412"/>
      <c r="F193" s="418">
        <f t="shared" si="10"/>
        <v>0.7142857142857143</v>
      </c>
      <c r="G193" s="412">
        <f>'Templ-Mats'!J95</f>
        <v>3.5000000000000003E-2</v>
      </c>
      <c r="H193" s="412">
        <f>'Templ-Mats'!G95</f>
        <v>25</v>
      </c>
      <c r="I193" s="412" t="str">
        <f>IF('Templ-Cons'!L120="","",'Templ-Cons'!L120)</f>
        <v/>
      </c>
      <c r="J193" s="412" t="str">
        <f>IF('Templ-Cons'!F120="","",'Templ-Cons'!F120)</f>
        <v/>
      </c>
      <c r="K193" s="412" t="str">
        <f>IF('Templ-Cons'!H120="","",'Templ-Cons'!H120)</f>
        <v/>
      </c>
      <c r="L193" s="412" t="str">
        <f>IF('Templ-Cons'!G120="","",'Templ-Cons'!G120)</f>
        <v/>
      </c>
      <c r="M193" s="412" t="str">
        <f>IF('Templ-Cons'!H120="","",'Templ-Cons'!H120)</f>
        <v/>
      </c>
      <c r="N193" s="412" t="str">
        <f>IF('Templ-Cons'!I120="","",'Templ-Cons'!I120)</f>
        <v/>
      </c>
      <c r="O193" s="412"/>
      <c r="P193" s="412"/>
      <c r="Q193" s="412"/>
      <c r="R193" s="412"/>
      <c r="S193" s="412"/>
      <c r="T193" s="412"/>
      <c r="U193" s="412"/>
      <c r="V193" s="412"/>
      <c r="W193" s="412"/>
      <c r="X193" s="412"/>
      <c r="Y193" s="412"/>
      <c r="Z193" s="412"/>
      <c r="AA193" s="412"/>
      <c r="AB193" s="412"/>
      <c r="AC193" s="412"/>
      <c r="AD193" s="412"/>
    </row>
    <row r="194" spans="1:30">
      <c r="A194" s="412"/>
      <c r="B194" s="412"/>
      <c r="C194" s="412" t="str">
        <f>'Templ-Mats'!B96</f>
        <v>AF44</v>
      </c>
      <c r="D194" s="412" t="str">
        <f>'Templ-Mats'!C96</f>
        <v>Insulation: Expanded polystyrene - molded beads - 28 k6/m3 density</v>
      </c>
      <c r="E194" s="412"/>
      <c r="F194" s="418">
        <f t="shared" si="10"/>
        <v>0.7142857142857143</v>
      </c>
      <c r="G194" s="412">
        <f>'Templ-Mats'!J96</f>
        <v>3.5000000000000003E-2</v>
      </c>
      <c r="H194" s="412">
        <f>'Templ-Mats'!G96</f>
        <v>25</v>
      </c>
      <c r="I194" s="412" t="str">
        <f>IF('Templ-Cons'!L121="","",'Templ-Cons'!L121)</f>
        <v/>
      </c>
      <c r="J194" s="412" t="str">
        <f>IF('Templ-Cons'!F121="","",'Templ-Cons'!F121)</f>
        <v/>
      </c>
      <c r="K194" s="412" t="str">
        <f>IF('Templ-Cons'!H121="","",'Templ-Cons'!H121)</f>
        <v/>
      </c>
      <c r="L194" s="412" t="str">
        <f>IF('Templ-Cons'!G121="","",'Templ-Cons'!G121)</f>
        <v/>
      </c>
      <c r="M194" s="412" t="str">
        <f>IF('Templ-Cons'!H121="","",'Templ-Cons'!H121)</f>
        <v/>
      </c>
      <c r="N194" s="412" t="str">
        <f>IF('Templ-Cons'!I121="","",'Templ-Cons'!I121)</f>
        <v/>
      </c>
      <c r="O194" s="412"/>
      <c r="P194" s="412"/>
      <c r="Q194" s="412"/>
      <c r="R194" s="412"/>
      <c r="S194" s="412"/>
      <c r="T194" s="412"/>
      <c r="U194" s="412"/>
      <c r="V194" s="412"/>
      <c r="W194" s="412"/>
      <c r="X194" s="412"/>
      <c r="Y194" s="412"/>
      <c r="Z194" s="412"/>
      <c r="AA194" s="412"/>
      <c r="AB194" s="412"/>
      <c r="AC194" s="412"/>
      <c r="AD194" s="412"/>
    </row>
    <row r="195" spans="1:30">
      <c r="A195" s="412"/>
      <c r="B195" s="412"/>
      <c r="C195" s="412" t="str">
        <f>'Templ-Mats'!B97</f>
        <v>AF45</v>
      </c>
      <c r="D195" s="412" t="str">
        <f>'Templ-Mats'!C97</f>
        <v>Insulation: Expanded polystyrene - molded beads - 32 kg/m3 density</v>
      </c>
      <c r="E195" s="412"/>
      <c r="F195" s="418">
        <f t="shared" si="10"/>
        <v>0.75757575757575757</v>
      </c>
      <c r="G195" s="412">
        <f>'Templ-Mats'!J97</f>
        <v>3.3000000000000002E-2</v>
      </c>
      <c r="H195" s="412">
        <f>'Templ-Mats'!G97</f>
        <v>25</v>
      </c>
      <c r="I195" s="412" t="str">
        <f>IF('Templ-Cons'!L122="","",'Templ-Cons'!L122)</f>
        <v/>
      </c>
      <c r="J195" s="412" t="str">
        <f>IF('Templ-Cons'!F122="","",'Templ-Cons'!F122)</f>
        <v/>
      </c>
      <c r="K195" s="412" t="str">
        <f>IF('Templ-Cons'!H122="","",'Templ-Cons'!H122)</f>
        <v/>
      </c>
      <c r="L195" s="412" t="str">
        <f>IF('Templ-Cons'!G122="","",'Templ-Cons'!G122)</f>
        <v/>
      </c>
      <c r="M195" s="412" t="str">
        <f>IF('Templ-Cons'!H122="","",'Templ-Cons'!H122)</f>
        <v/>
      </c>
      <c r="N195" s="412" t="str">
        <f>IF('Templ-Cons'!I122="","",'Templ-Cons'!I122)</f>
        <v/>
      </c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412"/>
      <c r="Z195" s="412"/>
      <c r="AA195" s="412"/>
      <c r="AB195" s="412"/>
      <c r="AC195" s="412"/>
      <c r="AD195" s="412"/>
    </row>
    <row r="196" spans="1:30">
      <c r="A196" s="412"/>
      <c r="B196" s="412"/>
      <c r="C196" s="412" t="str">
        <f>'Templ-Mats'!B98</f>
        <v>AF46</v>
      </c>
      <c r="D196" s="412" t="str">
        <f>'Templ-Mats'!C98</f>
        <v>Insulation: Expanded polystyrene - molded beads - 32 kg/m3 density</v>
      </c>
      <c r="E196" s="412"/>
      <c r="F196" s="418">
        <f t="shared" si="10"/>
        <v>0.75757575757575757</v>
      </c>
      <c r="G196" s="412">
        <f>'Templ-Mats'!J98</f>
        <v>3.3000000000000002E-2</v>
      </c>
      <c r="H196" s="412">
        <f>'Templ-Mats'!G98</f>
        <v>25</v>
      </c>
      <c r="I196" s="412" t="str">
        <f>IF('Templ-Cons'!L123="","",'Templ-Cons'!L123)</f>
        <v/>
      </c>
      <c r="J196" s="412" t="str">
        <f>IF('Templ-Cons'!F123="","",'Templ-Cons'!F123)</f>
        <v/>
      </c>
      <c r="K196" s="412" t="str">
        <f>IF('Templ-Cons'!H123="","",'Templ-Cons'!H123)</f>
        <v/>
      </c>
      <c r="L196" s="412" t="str">
        <f>IF('Templ-Cons'!G123="","",'Templ-Cons'!G123)</f>
        <v/>
      </c>
      <c r="M196" s="412" t="str">
        <f>IF('Templ-Cons'!H123="","",'Templ-Cons'!H123)</f>
        <v/>
      </c>
      <c r="N196" s="412" t="str">
        <f>IF('Templ-Cons'!I123="","",'Templ-Cons'!I123)</f>
        <v/>
      </c>
      <c r="O196" s="412"/>
      <c r="P196" s="412"/>
      <c r="Q196" s="412"/>
      <c r="R196" s="412"/>
      <c r="S196" s="412"/>
      <c r="T196" s="412"/>
      <c r="U196" s="412"/>
      <c r="V196" s="412"/>
      <c r="W196" s="412"/>
      <c r="X196" s="412"/>
      <c r="Y196" s="412"/>
      <c r="Z196" s="412"/>
      <c r="AA196" s="412"/>
      <c r="AB196" s="412"/>
      <c r="AC196" s="412"/>
      <c r="AD196" s="412"/>
    </row>
    <row r="197" spans="1:30">
      <c r="A197" s="412"/>
      <c r="B197" s="412"/>
      <c r="C197" s="412" t="str">
        <f>'Templ-Mats'!B99</f>
        <v>AF47</v>
      </c>
      <c r="D197" s="412" t="str">
        <f>'Templ-Mats'!C99</f>
        <v>Insulation: Cellular polyurethane/polyisocyanuratei (CFC11 exp.) (unfaced)</v>
      </c>
      <c r="E197" s="412"/>
      <c r="F197" s="418">
        <f t="shared" si="10"/>
        <v>1.0204081632653061</v>
      </c>
      <c r="G197" s="412">
        <f>'Templ-Mats'!J99</f>
        <v>2.4500000000000001E-2</v>
      </c>
      <c r="H197" s="412">
        <f>'Templ-Mats'!G99</f>
        <v>25</v>
      </c>
      <c r="I197" s="412" t="str">
        <f>IF('Templ-Cons'!L124="","",'Templ-Cons'!L124)</f>
        <v/>
      </c>
      <c r="J197" s="412" t="str">
        <f>IF('Templ-Cons'!F124="","",'Templ-Cons'!F124)</f>
        <v/>
      </c>
      <c r="K197" s="412" t="str">
        <f>IF('Templ-Cons'!H124="","",'Templ-Cons'!H124)</f>
        <v/>
      </c>
      <c r="L197" s="412" t="str">
        <f>IF('Templ-Cons'!G124="","",'Templ-Cons'!G124)</f>
        <v/>
      </c>
      <c r="M197" s="412" t="str">
        <f>IF('Templ-Cons'!H124="","",'Templ-Cons'!H124)</f>
        <v/>
      </c>
      <c r="N197" s="412" t="str">
        <f>IF('Templ-Cons'!I124="","",'Templ-Cons'!I124)</f>
        <v/>
      </c>
      <c r="O197" s="412"/>
      <c r="P197" s="412"/>
      <c r="Q197" s="412"/>
      <c r="R197" s="412"/>
      <c r="S197" s="412"/>
      <c r="T197" s="412"/>
      <c r="U197" s="412"/>
      <c r="V197" s="412"/>
      <c r="W197" s="412"/>
      <c r="X197" s="412"/>
      <c r="Y197" s="412"/>
      <c r="Z197" s="412"/>
      <c r="AA197" s="412"/>
      <c r="AB197" s="412"/>
      <c r="AC197" s="412"/>
      <c r="AD197" s="412"/>
    </row>
    <row r="198" spans="1:30">
      <c r="A198" s="412"/>
      <c r="B198" s="412"/>
      <c r="C198" s="412" t="str">
        <f>'Templ-Mats'!B100</f>
        <v>AF48</v>
      </c>
      <c r="D198" s="412" t="str">
        <f>'Templ-Mats'!C100</f>
        <v>Insulation: Cellular polyisocyanuratei (CFC-11 exp.) (gaspermeable facers)</v>
      </c>
      <c r="E198" s="412"/>
      <c r="F198" s="418">
        <f t="shared" si="10"/>
        <v>1.0204081632653061</v>
      </c>
      <c r="G198" s="412">
        <f>'Templ-Mats'!J100</f>
        <v>2.4500000000000001E-2</v>
      </c>
      <c r="H198" s="412">
        <f>'Templ-Mats'!G100</f>
        <v>25</v>
      </c>
      <c r="I198" s="412" t="str">
        <f>IF('Templ-Cons'!L125="","",'Templ-Cons'!L125)</f>
        <v/>
      </c>
      <c r="J198" s="412" t="str">
        <f>IF('Templ-Cons'!F125="","",'Templ-Cons'!F125)</f>
        <v/>
      </c>
      <c r="K198" s="412" t="str">
        <f>IF('Templ-Cons'!H125="","",'Templ-Cons'!H125)</f>
        <v/>
      </c>
      <c r="L198" s="412" t="str">
        <f>IF('Templ-Cons'!G125="","",'Templ-Cons'!G125)</f>
        <v/>
      </c>
      <c r="M198" s="412" t="str">
        <f>IF('Templ-Cons'!H125="","",'Templ-Cons'!H125)</f>
        <v/>
      </c>
      <c r="N198" s="412" t="str">
        <f>IF('Templ-Cons'!I125="","",'Templ-Cons'!I125)</f>
        <v/>
      </c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412"/>
      <c r="Z198" s="412"/>
      <c r="AA198" s="412"/>
      <c r="AB198" s="412"/>
      <c r="AC198" s="412"/>
      <c r="AD198" s="412"/>
    </row>
    <row r="199" spans="1:30">
      <c r="A199" s="412"/>
      <c r="B199" s="412"/>
      <c r="C199" s="412" t="str">
        <f>'Templ-Mats'!B101</f>
        <v>AF49</v>
      </c>
      <c r="D199" s="412" t="str">
        <f>'Templ-Mats'!C101</f>
        <v>Insulation: Cellular polyisocyanuratej (CFC-11 exp.) (gasimpermeable facers)</v>
      </c>
      <c r="E199" s="412"/>
      <c r="F199" s="418">
        <f t="shared" si="10"/>
        <v>1.25</v>
      </c>
      <c r="G199" s="412">
        <f>'Templ-Mats'!J101</f>
        <v>0.02</v>
      </c>
      <c r="H199" s="412">
        <f>'Templ-Mats'!G101</f>
        <v>25</v>
      </c>
      <c r="I199" s="412" t="str">
        <f>IF('Templ-Cons'!L126="","",'Templ-Cons'!L126)</f>
        <v/>
      </c>
      <c r="J199" s="412" t="str">
        <f>IF('Templ-Cons'!F126="","",'Templ-Cons'!F126)</f>
        <v/>
      </c>
      <c r="K199" s="412" t="str">
        <f>IF('Templ-Cons'!H126="","",'Templ-Cons'!H126)</f>
        <v/>
      </c>
      <c r="L199" s="412" t="str">
        <f>IF('Templ-Cons'!G126="","",'Templ-Cons'!G126)</f>
        <v/>
      </c>
      <c r="M199" s="412" t="str">
        <f>IF('Templ-Cons'!H126="","",'Templ-Cons'!H126)</f>
        <v/>
      </c>
      <c r="N199" s="412" t="str">
        <f>IF('Templ-Cons'!I126="","",'Templ-Cons'!I126)</f>
        <v/>
      </c>
      <c r="O199" s="412"/>
      <c r="P199" s="412"/>
      <c r="Q199" s="412"/>
      <c r="R199" s="412"/>
      <c r="S199" s="412"/>
      <c r="T199" s="412"/>
      <c r="U199" s="412"/>
      <c r="V199" s="412"/>
      <c r="W199" s="412"/>
      <c r="X199" s="412"/>
      <c r="Y199" s="412"/>
      <c r="Z199" s="412"/>
      <c r="AA199" s="412"/>
      <c r="AB199" s="412"/>
      <c r="AC199" s="412"/>
      <c r="AD199" s="412"/>
    </row>
    <row r="200" spans="1:30">
      <c r="A200" s="412"/>
      <c r="B200" s="412"/>
      <c r="C200" s="412" t="str">
        <f>'Templ-Mats'!B102</f>
        <v>AF50</v>
      </c>
      <c r="D200" s="412" t="str">
        <f>'Templ-Mats'!C102</f>
        <v>Brick - fired clay - 2400 kg/m3 - 102mm</v>
      </c>
      <c r="E200" s="412"/>
      <c r="F200" s="418">
        <f t="shared" si="10"/>
        <v>7.6119402985074622E-2</v>
      </c>
      <c r="G200" s="412">
        <f>'Templ-Mats'!J102</f>
        <v>1.34</v>
      </c>
      <c r="H200" s="412">
        <f>'Templ-Mats'!G102</f>
        <v>102</v>
      </c>
      <c r="I200" s="412" t="str">
        <f>IF('Templ-Cons'!L127="","",'Templ-Cons'!L127)</f>
        <v/>
      </c>
      <c r="J200" s="412" t="str">
        <f>IF('Templ-Cons'!F127="","",'Templ-Cons'!F127)</f>
        <v/>
      </c>
      <c r="K200" s="412" t="str">
        <f>IF('Templ-Cons'!H127="","",'Templ-Cons'!H127)</f>
        <v/>
      </c>
      <c r="L200" s="412" t="str">
        <f>IF('Templ-Cons'!G127="","",'Templ-Cons'!G127)</f>
        <v/>
      </c>
      <c r="M200" s="412" t="str">
        <f>IF('Templ-Cons'!H127="","",'Templ-Cons'!H127)</f>
        <v/>
      </c>
      <c r="N200" s="412" t="str">
        <f>IF('Templ-Cons'!I127="","",'Templ-Cons'!I127)</f>
        <v/>
      </c>
      <c r="O200" s="412"/>
      <c r="P200" s="412"/>
      <c r="Q200" s="412"/>
      <c r="R200" s="412"/>
      <c r="S200" s="412"/>
      <c r="T200" s="412"/>
      <c r="U200" s="412"/>
      <c r="V200" s="412"/>
      <c r="W200" s="412"/>
      <c r="X200" s="412"/>
      <c r="Y200" s="412"/>
      <c r="Z200" s="412"/>
      <c r="AA200" s="412"/>
      <c r="AB200" s="412"/>
      <c r="AC200" s="412"/>
      <c r="AD200" s="412"/>
    </row>
    <row r="201" spans="1:30">
      <c r="A201" s="412"/>
      <c r="B201" s="412"/>
      <c r="C201" s="412" t="str">
        <f>'Templ-Mats'!B103</f>
        <v>AF51</v>
      </c>
      <c r="D201" s="412" t="str">
        <f>'Templ-Mats'!C103</f>
        <v>Brick - fired clay - 2240 kg/m3 - 102mm</v>
      </c>
      <c r="E201" s="412"/>
      <c r="F201" s="418">
        <f t="shared" si="10"/>
        <v>8.6075949367088594E-2</v>
      </c>
      <c r="G201" s="412">
        <f>'Templ-Mats'!J103</f>
        <v>1.1850000000000001</v>
      </c>
      <c r="H201" s="412">
        <f>'Templ-Mats'!G103</f>
        <v>102</v>
      </c>
      <c r="I201" s="412" t="str">
        <f>IF('Templ-Cons'!L128="","",'Templ-Cons'!L128)</f>
        <v/>
      </c>
      <c r="J201" s="412" t="str">
        <f>IF('Templ-Cons'!F128="","",'Templ-Cons'!F128)</f>
        <v/>
      </c>
      <c r="K201" s="412" t="str">
        <f>IF('Templ-Cons'!H128="","",'Templ-Cons'!H128)</f>
        <v/>
      </c>
      <c r="L201" s="412" t="str">
        <f>IF('Templ-Cons'!G128="","",'Templ-Cons'!G128)</f>
        <v/>
      </c>
      <c r="M201" s="412" t="str">
        <f>IF('Templ-Cons'!H128="","",'Templ-Cons'!H128)</f>
        <v/>
      </c>
      <c r="N201" s="412" t="str">
        <f>IF('Templ-Cons'!I128="","",'Templ-Cons'!I128)</f>
        <v/>
      </c>
      <c r="O201" s="412"/>
      <c r="P201" s="412"/>
      <c r="Q201" s="412"/>
      <c r="R201" s="412"/>
      <c r="S201" s="412"/>
      <c r="T201" s="412"/>
      <c r="U201" s="412"/>
      <c r="V201" s="412"/>
      <c r="W201" s="412"/>
      <c r="X201" s="412"/>
      <c r="Y201" s="412"/>
      <c r="Z201" s="412"/>
      <c r="AA201" s="412"/>
      <c r="AB201" s="412"/>
      <c r="AC201" s="412"/>
      <c r="AD201" s="412"/>
    </row>
    <row r="202" spans="1:30">
      <c r="A202" s="412"/>
      <c r="B202" s="412"/>
      <c r="C202" s="412" t="str">
        <f>'Templ-Mats'!B104</f>
        <v>AF52</v>
      </c>
      <c r="D202" s="412" t="str">
        <f>'Templ-Mats'!C104</f>
        <v>Brick - fired clay - 2080 kg/m3 - 102mm</v>
      </c>
      <c r="E202" s="412"/>
      <c r="F202" s="418">
        <f t="shared" si="10"/>
        <v>9.9999999999999992E-2</v>
      </c>
      <c r="G202" s="412">
        <f>'Templ-Mats'!J104</f>
        <v>1.02</v>
      </c>
      <c r="H202" s="412">
        <f>'Templ-Mats'!G104</f>
        <v>102</v>
      </c>
      <c r="I202" s="412" t="str">
        <f>IF('Templ-Cons'!L129="","",'Templ-Cons'!L129)</f>
        <v/>
      </c>
      <c r="J202" s="412" t="str">
        <f>IF('Templ-Cons'!F129="","",'Templ-Cons'!F129)</f>
        <v/>
      </c>
      <c r="K202" s="412" t="str">
        <f>IF('Templ-Cons'!H129="","",'Templ-Cons'!H129)</f>
        <v/>
      </c>
      <c r="L202" s="412" t="str">
        <f>IF('Templ-Cons'!G129="","",'Templ-Cons'!G129)</f>
        <v/>
      </c>
      <c r="M202" s="412" t="str">
        <f>IF('Templ-Cons'!H129="","",'Templ-Cons'!H129)</f>
        <v/>
      </c>
      <c r="N202" s="412" t="str">
        <f>IF('Templ-Cons'!I129="","",'Templ-Cons'!I129)</f>
        <v/>
      </c>
      <c r="O202" s="412"/>
      <c r="P202" s="412"/>
      <c r="Q202" s="412"/>
      <c r="R202" s="412"/>
      <c r="S202" s="412"/>
      <c r="T202" s="412"/>
      <c r="U202" s="412"/>
      <c r="V202" s="412"/>
      <c r="W202" s="412"/>
      <c r="X202" s="412"/>
      <c r="Y202" s="412"/>
      <c r="Z202" s="412"/>
      <c r="AA202" s="412"/>
      <c r="AB202" s="412"/>
      <c r="AC202" s="412"/>
      <c r="AD202" s="412"/>
    </row>
    <row r="203" spans="1:30">
      <c r="A203" s="412"/>
      <c r="B203" s="412"/>
      <c r="C203" s="412" t="str">
        <f>'Templ-Mats'!B105</f>
        <v>AF53</v>
      </c>
      <c r="D203" s="412" t="str">
        <f>'Templ-Mats'!C105</f>
        <v>Brick - fired clay - 1920 kg/m3 - 102mm</v>
      </c>
      <c r="E203" s="412"/>
      <c r="F203" s="418">
        <f t="shared" si="10"/>
        <v>0.11396648044692737</v>
      </c>
      <c r="G203" s="412">
        <f>'Templ-Mats'!J105</f>
        <v>0.89500000000000002</v>
      </c>
      <c r="H203" s="412">
        <f>'Templ-Mats'!G105</f>
        <v>102</v>
      </c>
      <c r="I203" s="412" t="str">
        <f>IF('Templ-Cons'!L130="","",'Templ-Cons'!L130)</f>
        <v/>
      </c>
      <c r="J203" s="412" t="str">
        <f>IF('Templ-Cons'!F130="","",'Templ-Cons'!F130)</f>
        <v/>
      </c>
      <c r="K203" s="412" t="str">
        <f>IF('Templ-Cons'!H130="","",'Templ-Cons'!H130)</f>
        <v/>
      </c>
      <c r="L203" s="412" t="str">
        <f>IF('Templ-Cons'!G130="","",'Templ-Cons'!G130)</f>
        <v/>
      </c>
      <c r="M203" s="412" t="str">
        <f>IF('Templ-Cons'!H130="","",'Templ-Cons'!H130)</f>
        <v/>
      </c>
      <c r="N203" s="412" t="str">
        <f>IF('Templ-Cons'!I130="","",'Templ-Cons'!I130)</f>
        <v/>
      </c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412"/>
      <c r="Z203" s="412"/>
      <c r="AA203" s="412"/>
      <c r="AB203" s="412"/>
      <c r="AC203" s="412"/>
      <c r="AD203" s="412"/>
    </row>
    <row r="204" spans="1:30">
      <c r="A204" s="412"/>
      <c r="B204" s="412"/>
      <c r="C204" s="412" t="str">
        <f>'Templ-Mats'!B106</f>
        <v>AF54</v>
      </c>
      <c r="D204" s="412" t="str">
        <f>'Templ-Mats'!C106</f>
        <v>Brick - fired clay - 1760 kg/m3 - 102mm</v>
      </c>
      <c r="E204" s="412"/>
      <c r="F204" s="418">
        <f t="shared" si="10"/>
        <v>0.13076923076923075</v>
      </c>
      <c r="G204" s="412">
        <f>'Templ-Mats'!J106</f>
        <v>0.78</v>
      </c>
      <c r="H204" s="412">
        <f>'Templ-Mats'!G106</f>
        <v>102</v>
      </c>
      <c r="I204" s="412" t="str">
        <f>IF('Templ-Cons'!L131="","",'Templ-Cons'!L131)</f>
        <v/>
      </c>
      <c r="J204" s="412" t="str">
        <f>IF('Templ-Cons'!F131="","",'Templ-Cons'!F131)</f>
        <v/>
      </c>
      <c r="K204" s="412" t="str">
        <f>IF('Templ-Cons'!H131="","",'Templ-Cons'!H131)</f>
        <v/>
      </c>
      <c r="L204" s="412" t="str">
        <f>IF('Templ-Cons'!G131="","",'Templ-Cons'!G131)</f>
        <v/>
      </c>
      <c r="M204" s="412" t="str">
        <f>IF('Templ-Cons'!H131="","",'Templ-Cons'!H131)</f>
        <v/>
      </c>
      <c r="N204" s="412" t="str">
        <f>IF('Templ-Cons'!I131="","",'Templ-Cons'!I131)</f>
        <v/>
      </c>
      <c r="O204" s="412"/>
      <c r="P204" s="412"/>
      <c r="Q204" s="412"/>
      <c r="R204" s="412"/>
      <c r="S204" s="412"/>
      <c r="T204" s="412"/>
      <c r="U204" s="412"/>
      <c r="V204" s="412"/>
      <c r="W204" s="412"/>
      <c r="X204" s="412"/>
      <c r="Y204" s="412"/>
      <c r="Z204" s="412"/>
      <c r="AA204" s="412"/>
      <c r="AB204" s="412"/>
      <c r="AC204" s="412"/>
      <c r="AD204" s="412"/>
    </row>
    <row r="205" spans="1:30">
      <c r="A205" s="412"/>
      <c r="B205" s="412"/>
      <c r="C205" s="412" t="str">
        <f>'Templ-Mats'!B107</f>
        <v>AF55</v>
      </c>
      <c r="D205" s="412" t="str">
        <f>'Templ-Mats'!C107</f>
        <v>Brick - fired clay - 1600 kg/m3 - 102mm</v>
      </c>
      <c r="E205" s="412"/>
      <c r="F205" s="418">
        <f t="shared" si="10"/>
        <v>0.15111111111111108</v>
      </c>
      <c r="G205" s="412">
        <f>'Templ-Mats'!J107</f>
        <v>0.67500000000000004</v>
      </c>
      <c r="H205" s="412">
        <f>'Templ-Mats'!G107</f>
        <v>102</v>
      </c>
      <c r="I205" s="412" t="str">
        <f>IF('Templ-Cons'!L132="","",'Templ-Cons'!L132)</f>
        <v/>
      </c>
      <c r="J205" s="412" t="str">
        <f>IF('Templ-Cons'!F132="","",'Templ-Cons'!F132)</f>
        <v/>
      </c>
      <c r="K205" s="412" t="str">
        <f>IF('Templ-Cons'!H132="","",'Templ-Cons'!H132)</f>
        <v/>
      </c>
      <c r="L205" s="412" t="str">
        <f>IF('Templ-Cons'!G132="","",'Templ-Cons'!G132)</f>
        <v/>
      </c>
      <c r="M205" s="412" t="str">
        <f>IF('Templ-Cons'!H132="","",'Templ-Cons'!H132)</f>
        <v/>
      </c>
      <c r="N205" s="412" t="str">
        <f>IF('Templ-Cons'!I132="","",'Templ-Cons'!I132)</f>
        <v/>
      </c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412"/>
      <c r="AA205" s="412"/>
      <c r="AB205" s="412"/>
      <c r="AC205" s="412"/>
      <c r="AD205" s="412"/>
    </row>
    <row r="206" spans="1:30">
      <c r="A206" s="412"/>
      <c r="B206" s="412"/>
      <c r="C206" s="412" t="str">
        <f>'Templ-Mats'!B108</f>
        <v>AF56</v>
      </c>
      <c r="D206" s="412" t="str">
        <f>'Templ-Mats'!C108</f>
        <v>Brick - fired clay - 1440 kg/m3 - 102mm</v>
      </c>
      <c r="E206" s="412"/>
      <c r="F206" s="418">
        <f t="shared" si="10"/>
        <v>0.17894736842105263</v>
      </c>
      <c r="G206" s="412">
        <f>'Templ-Mats'!J108</f>
        <v>0.56999999999999995</v>
      </c>
      <c r="H206" s="412">
        <f>'Templ-Mats'!G108</f>
        <v>102</v>
      </c>
      <c r="I206" s="412" t="str">
        <f>IF('Templ-Cons'!L133="","",'Templ-Cons'!L133)</f>
        <v/>
      </c>
      <c r="J206" s="412" t="str">
        <f>IF('Templ-Cons'!F133="","",'Templ-Cons'!F133)</f>
        <v/>
      </c>
      <c r="K206" s="412" t="str">
        <f>IF('Templ-Cons'!H133="","",'Templ-Cons'!H133)</f>
        <v/>
      </c>
      <c r="L206" s="412" t="str">
        <f>IF('Templ-Cons'!G133="","",'Templ-Cons'!G133)</f>
        <v/>
      </c>
      <c r="M206" s="412" t="str">
        <f>IF('Templ-Cons'!H133="","",'Templ-Cons'!H133)</f>
        <v/>
      </c>
      <c r="N206" s="412" t="str">
        <f>IF('Templ-Cons'!I133="","",'Templ-Cons'!I133)</f>
        <v/>
      </c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412"/>
      <c r="AA206" s="412"/>
      <c r="AB206" s="412"/>
      <c r="AC206" s="412"/>
      <c r="AD206" s="412"/>
    </row>
    <row r="207" spans="1:30">
      <c r="A207" s="412"/>
      <c r="B207" s="412"/>
      <c r="C207" s="412" t="str">
        <f>'Templ-Mats'!B109</f>
        <v>AF57</v>
      </c>
      <c r="D207" s="412" t="str">
        <f>'Templ-Mats'!C109</f>
        <v>Brick - fired clay - 1280 kg/m3 - 102mm</v>
      </c>
      <c r="E207" s="412"/>
      <c r="F207" s="418">
        <f t="shared" si="10"/>
        <v>0.21249999999999999</v>
      </c>
      <c r="G207" s="412">
        <f>'Templ-Mats'!J109</f>
        <v>0.48</v>
      </c>
      <c r="H207" s="412">
        <f>'Templ-Mats'!G109</f>
        <v>102</v>
      </c>
      <c r="I207" s="412" t="str">
        <f>IF('Templ-Cons'!L134="","",'Templ-Cons'!L134)</f>
        <v/>
      </c>
      <c r="J207" s="412" t="str">
        <f>IF('Templ-Cons'!F134="","",'Templ-Cons'!F134)</f>
        <v/>
      </c>
      <c r="K207" s="412" t="str">
        <f>IF('Templ-Cons'!H134="","",'Templ-Cons'!H134)</f>
        <v/>
      </c>
      <c r="L207" s="412" t="str">
        <f>IF('Templ-Cons'!G134="","",'Templ-Cons'!G134)</f>
        <v/>
      </c>
      <c r="M207" s="412" t="str">
        <f>IF('Templ-Cons'!H134="","",'Templ-Cons'!H134)</f>
        <v/>
      </c>
      <c r="N207" s="412" t="str">
        <f>IF('Templ-Cons'!I134="","",'Templ-Cons'!I134)</f>
        <v/>
      </c>
      <c r="O207" s="412"/>
      <c r="P207" s="412"/>
      <c r="Q207" s="412"/>
      <c r="R207" s="412"/>
      <c r="S207" s="412"/>
      <c r="T207" s="412"/>
      <c r="U207" s="412"/>
      <c r="V207" s="412"/>
      <c r="W207" s="412"/>
      <c r="X207" s="412"/>
      <c r="Y207" s="412"/>
      <c r="Z207" s="412"/>
      <c r="AA207" s="412"/>
      <c r="AB207" s="412"/>
      <c r="AC207" s="412"/>
      <c r="AD207" s="412"/>
    </row>
    <row r="208" spans="1:30">
      <c r="A208" s="412"/>
      <c r="B208" s="412"/>
      <c r="C208" s="412" t="str">
        <f>'Templ-Mats'!B110</f>
        <v>AF58</v>
      </c>
      <c r="D208" s="412" t="str">
        <f>'Templ-Mats'!C110</f>
        <v>Brick - fired clay - 1120 kg/m3 - 102mm</v>
      </c>
      <c r="E208" s="412"/>
      <c r="F208" s="418">
        <f t="shared" si="10"/>
        <v>0.25185185185185183</v>
      </c>
      <c r="G208" s="412">
        <f>'Templ-Mats'!J110</f>
        <v>0.40500000000000003</v>
      </c>
      <c r="H208" s="412">
        <f>'Templ-Mats'!G110</f>
        <v>102</v>
      </c>
      <c r="I208" s="412" t="str">
        <f>IF('Templ-Cons'!L135="","",'Templ-Cons'!L135)</f>
        <v/>
      </c>
      <c r="J208" s="412" t="str">
        <f>IF('Templ-Cons'!F135="","",'Templ-Cons'!F135)</f>
        <v/>
      </c>
      <c r="K208" s="412" t="str">
        <f>IF('Templ-Cons'!H135="","",'Templ-Cons'!H135)</f>
        <v/>
      </c>
      <c r="L208" s="412" t="str">
        <f>IF('Templ-Cons'!G135="","",'Templ-Cons'!G135)</f>
        <v/>
      </c>
      <c r="M208" s="412" t="str">
        <f>IF('Templ-Cons'!H135="","",'Templ-Cons'!H135)</f>
        <v/>
      </c>
      <c r="N208" s="412" t="str">
        <f>IF('Templ-Cons'!I135="","",'Templ-Cons'!I135)</f>
        <v/>
      </c>
      <c r="O208" s="412"/>
      <c r="P208" s="412"/>
      <c r="Q208" s="412"/>
      <c r="R208" s="412"/>
      <c r="S208" s="412"/>
      <c r="T208" s="412"/>
      <c r="U208" s="412"/>
      <c r="V208" s="412"/>
      <c r="W208" s="412"/>
      <c r="X208" s="412"/>
      <c r="Y208" s="412"/>
      <c r="Z208" s="412"/>
      <c r="AA208" s="412"/>
      <c r="AB208" s="412"/>
      <c r="AC208" s="412"/>
      <c r="AD208" s="412"/>
    </row>
    <row r="209" spans="1:30">
      <c r="A209" s="412"/>
      <c r="B209" s="412"/>
      <c r="C209" s="412" t="str">
        <f>'Templ-Mats'!B111</f>
        <v>AF59</v>
      </c>
      <c r="D209" s="412" t="str">
        <f>'Templ-Mats'!C111</f>
        <v>Quartzitic and sandstone - 2880 kg/m3 - 13mm</v>
      </c>
      <c r="E209" s="412"/>
      <c r="F209" s="418">
        <f t="shared" si="10"/>
        <v>1.2499999999999998E-3</v>
      </c>
      <c r="G209" s="412">
        <f>'Templ-Mats'!J111</f>
        <v>10.4</v>
      </c>
      <c r="H209" s="412">
        <f>'Templ-Mats'!G111</f>
        <v>13</v>
      </c>
      <c r="I209" s="412" t="str">
        <f>IF('Templ-Cons'!L136="","",'Templ-Cons'!L136)</f>
        <v/>
      </c>
      <c r="J209" s="412" t="str">
        <f>IF('Templ-Cons'!F136="","",'Templ-Cons'!F136)</f>
        <v/>
      </c>
      <c r="K209" s="412" t="str">
        <f>IF('Templ-Cons'!H136="","",'Templ-Cons'!H136)</f>
        <v/>
      </c>
      <c r="L209" s="412" t="str">
        <f>IF('Templ-Cons'!G136="","",'Templ-Cons'!G136)</f>
        <v/>
      </c>
      <c r="M209" s="412" t="str">
        <f>IF('Templ-Cons'!H136="","",'Templ-Cons'!H136)</f>
        <v/>
      </c>
      <c r="N209" s="412" t="str">
        <f>IF('Templ-Cons'!I136="","",'Templ-Cons'!I136)</f>
        <v/>
      </c>
      <c r="O209" s="412"/>
      <c r="P209" s="412"/>
      <c r="Q209" s="412"/>
      <c r="R209" s="412"/>
      <c r="S209" s="412"/>
      <c r="T209" s="412"/>
      <c r="U209" s="412"/>
      <c r="V209" s="412"/>
      <c r="W209" s="412"/>
      <c r="X209" s="412"/>
      <c r="Y209" s="412"/>
      <c r="Z209" s="412"/>
      <c r="AA209" s="412"/>
      <c r="AB209" s="412"/>
      <c r="AC209" s="412"/>
      <c r="AD209" s="412"/>
    </row>
    <row r="210" spans="1:30">
      <c r="A210" s="412"/>
      <c r="B210" s="412"/>
      <c r="C210" s="412" t="str">
        <f>'Templ-Mats'!B112</f>
        <v>AF60</v>
      </c>
      <c r="D210" s="412" t="str">
        <f>'Templ-Mats'!C112</f>
        <v>Quartzitic and sandstone - 2560 kg/m3 - 13mm</v>
      </c>
      <c r="E210" s="412"/>
      <c r="F210" s="418">
        <f t="shared" si="10"/>
        <v>2.096774193548387E-3</v>
      </c>
      <c r="G210" s="412">
        <f>'Templ-Mats'!J112</f>
        <v>6.2</v>
      </c>
      <c r="H210" s="412">
        <f>'Templ-Mats'!G112</f>
        <v>13</v>
      </c>
      <c r="I210" s="412" t="str">
        <f>IF('Templ-Cons'!L137="","",'Templ-Cons'!L137)</f>
        <v/>
      </c>
      <c r="J210" s="412" t="str">
        <f>IF('Templ-Cons'!F137="","",'Templ-Cons'!F137)</f>
        <v/>
      </c>
      <c r="K210" s="412" t="str">
        <f>IF('Templ-Cons'!H137="","",'Templ-Cons'!H137)</f>
        <v/>
      </c>
      <c r="L210" s="412" t="str">
        <f>IF('Templ-Cons'!G137="","",'Templ-Cons'!G137)</f>
        <v/>
      </c>
      <c r="M210" s="412" t="str">
        <f>IF('Templ-Cons'!H137="","",'Templ-Cons'!H137)</f>
        <v/>
      </c>
      <c r="N210" s="412" t="str">
        <f>IF('Templ-Cons'!I137="","",'Templ-Cons'!I137)</f>
        <v/>
      </c>
      <c r="O210" s="412"/>
      <c r="P210" s="412"/>
      <c r="Q210" s="412"/>
      <c r="R210" s="412"/>
      <c r="S210" s="412"/>
      <c r="T210" s="412"/>
      <c r="U210" s="412"/>
      <c r="V210" s="412"/>
      <c r="W210" s="412"/>
      <c r="X210" s="412"/>
      <c r="Y210" s="412"/>
      <c r="Z210" s="412"/>
      <c r="AA210" s="412"/>
      <c r="AB210" s="412"/>
      <c r="AC210" s="412"/>
      <c r="AD210" s="412"/>
    </row>
    <row r="211" spans="1:30">
      <c r="A211" s="412"/>
      <c r="B211" s="412"/>
      <c r="C211" s="412" t="str">
        <f>'Templ-Mats'!B113</f>
        <v>AF61</v>
      </c>
      <c r="D211" s="412" t="str">
        <f>'Templ-Mats'!C113</f>
        <v>Quartzitic and sandstone - 1920 kg/m3 - 13mm</v>
      </c>
      <c r="E211" s="412"/>
      <c r="F211" s="418">
        <f t="shared" si="10"/>
        <v>6.842105263157895E-3</v>
      </c>
      <c r="G211" s="412">
        <f>'Templ-Mats'!J113</f>
        <v>1.9</v>
      </c>
      <c r="H211" s="412">
        <f>'Templ-Mats'!G113</f>
        <v>13</v>
      </c>
      <c r="I211" s="412" t="str">
        <f>IF('Templ-Cons'!L138="","",'Templ-Cons'!L138)</f>
        <v/>
      </c>
      <c r="J211" s="412" t="str">
        <f>IF('Templ-Cons'!F138="","",'Templ-Cons'!F138)</f>
        <v/>
      </c>
      <c r="K211" s="412" t="str">
        <f>IF('Templ-Cons'!H138="","",'Templ-Cons'!H138)</f>
        <v/>
      </c>
      <c r="L211" s="412" t="str">
        <f>IF('Templ-Cons'!G138="","",'Templ-Cons'!G138)</f>
        <v/>
      </c>
      <c r="M211" s="412" t="str">
        <f>IF('Templ-Cons'!H138="","",'Templ-Cons'!H138)</f>
        <v/>
      </c>
      <c r="N211" s="412" t="str">
        <f>IF('Templ-Cons'!I138="","",'Templ-Cons'!I138)</f>
        <v/>
      </c>
      <c r="O211" s="412"/>
      <c r="P211" s="412"/>
      <c r="Q211" s="412"/>
      <c r="R211" s="412"/>
      <c r="S211" s="412"/>
      <c r="T211" s="412"/>
      <c r="U211" s="412"/>
      <c r="V211" s="412"/>
      <c r="W211" s="412"/>
      <c r="X211" s="412"/>
      <c r="Y211" s="412"/>
      <c r="Z211" s="412"/>
      <c r="AA211" s="412"/>
      <c r="AB211" s="412"/>
      <c r="AC211" s="412"/>
      <c r="AD211" s="412"/>
    </row>
    <row r="212" spans="1:30">
      <c r="A212" s="412"/>
      <c r="B212" s="412"/>
      <c r="C212" s="412" t="str">
        <f>'Templ-Mats'!B114</f>
        <v>AF62</v>
      </c>
      <c r="D212" s="412" t="str">
        <f>'Templ-Mats'!C114</f>
        <v>Calcitic - dolomitic - limestone - marble - and granite - 2880 kg/m3 - 13mm</v>
      </c>
      <c r="E212" s="412"/>
      <c r="F212" s="418">
        <f t="shared" si="10"/>
        <v>3.0232558139534882E-3</v>
      </c>
      <c r="G212" s="412">
        <f>'Templ-Mats'!J114</f>
        <v>4.3</v>
      </c>
      <c r="H212" s="412">
        <f>'Templ-Mats'!G114</f>
        <v>13</v>
      </c>
      <c r="I212" s="412" t="str">
        <f>IF('Templ-Cons'!L139="","",'Templ-Cons'!L139)</f>
        <v/>
      </c>
      <c r="J212" s="412" t="str">
        <f>IF('Templ-Cons'!F139="","",'Templ-Cons'!F139)</f>
        <v/>
      </c>
      <c r="K212" s="412" t="str">
        <f>IF('Templ-Cons'!H139="","",'Templ-Cons'!H139)</f>
        <v/>
      </c>
      <c r="L212" s="412" t="str">
        <f>IF('Templ-Cons'!G139="","",'Templ-Cons'!G139)</f>
        <v/>
      </c>
      <c r="M212" s="412" t="str">
        <f>IF('Templ-Cons'!H139="","",'Templ-Cons'!H139)</f>
        <v/>
      </c>
      <c r="N212" s="412" t="str">
        <f>IF('Templ-Cons'!I139="","",'Templ-Cons'!I139)</f>
        <v/>
      </c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412"/>
      <c r="AA212" s="412"/>
      <c r="AB212" s="412"/>
      <c r="AC212" s="412"/>
      <c r="AD212" s="412"/>
    </row>
    <row r="213" spans="1:30">
      <c r="A213" s="412"/>
      <c r="B213" s="412"/>
      <c r="C213" s="412" t="str">
        <f>'Templ-Mats'!B115</f>
        <v>AF63</v>
      </c>
      <c r="D213" s="412" t="str">
        <f>'Templ-Mats'!C115</f>
        <v>Calcitic - dolomitic - limestone - marble - and granite - 2560 kg/m3 - 13mm</v>
      </c>
      <c r="E213" s="412"/>
      <c r="F213" s="418">
        <f t="shared" si="10"/>
        <v>4.0624999999999993E-3</v>
      </c>
      <c r="G213" s="412">
        <f>'Templ-Mats'!J115</f>
        <v>3.2</v>
      </c>
      <c r="H213" s="412">
        <f>'Templ-Mats'!G115</f>
        <v>13</v>
      </c>
      <c r="I213" s="412" t="str">
        <f>IF('Templ-Cons'!L140="","",'Templ-Cons'!L140)</f>
        <v/>
      </c>
      <c r="J213" s="412" t="str">
        <f>IF('Templ-Cons'!F140="","",'Templ-Cons'!F140)</f>
        <v/>
      </c>
      <c r="K213" s="412" t="str">
        <f>IF('Templ-Cons'!H140="","",'Templ-Cons'!H140)</f>
        <v/>
      </c>
      <c r="L213" s="412" t="str">
        <f>IF('Templ-Cons'!G140="","",'Templ-Cons'!G140)</f>
        <v/>
      </c>
      <c r="M213" s="412" t="str">
        <f>IF('Templ-Cons'!H140="","",'Templ-Cons'!H140)</f>
        <v/>
      </c>
      <c r="N213" s="412" t="str">
        <f>IF('Templ-Cons'!I140="","",'Templ-Cons'!I140)</f>
        <v/>
      </c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412"/>
      <c r="AA213" s="412"/>
      <c r="AB213" s="412"/>
      <c r="AC213" s="412"/>
      <c r="AD213" s="412"/>
    </row>
    <row r="214" spans="1:30">
      <c r="A214" s="412"/>
      <c r="B214" s="412"/>
      <c r="C214" s="412" t="str">
        <f>'Templ-Mats'!B116</f>
        <v>AF64</v>
      </c>
      <c r="D214" s="412" t="str">
        <f>'Templ-Mats'!C116</f>
        <v>Calcitic - dolomitic - limestone - marble - and granite - 2240 kg/m3 - 13mm</v>
      </c>
      <c r="E214" s="412"/>
      <c r="F214" s="418">
        <f t="shared" si="10"/>
        <v>5.6521739130434784E-3</v>
      </c>
      <c r="G214" s="412">
        <f>'Templ-Mats'!J116</f>
        <v>2.2999999999999998</v>
      </c>
      <c r="H214" s="412">
        <f>'Templ-Mats'!G116</f>
        <v>13</v>
      </c>
      <c r="I214" s="412" t="str">
        <f>IF('Templ-Cons'!L141="","",'Templ-Cons'!L141)</f>
        <v/>
      </c>
      <c r="J214" s="412" t="str">
        <f>IF('Templ-Cons'!F141="","",'Templ-Cons'!F141)</f>
        <v/>
      </c>
      <c r="K214" s="412" t="str">
        <f>IF('Templ-Cons'!H141="","",'Templ-Cons'!H141)</f>
        <v/>
      </c>
      <c r="L214" s="412" t="str">
        <f>IF('Templ-Cons'!G141="","",'Templ-Cons'!G141)</f>
        <v/>
      </c>
      <c r="M214" s="412" t="str">
        <f>IF('Templ-Cons'!H141="","",'Templ-Cons'!H141)</f>
        <v/>
      </c>
      <c r="N214" s="412" t="str">
        <f>IF('Templ-Cons'!I141="","",'Templ-Cons'!I141)</f>
        <v/>
      </c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412"/>
      <c r="AA214" s="412"/>
      <c r="AB214" s="412"/>
      <c r="AC214" s="412"/>
      <c r="AD214" s="412"/>
    </row>
    <row r="215" spans="1:30">
      <c r="A215" s="412"/>
      <c r="B215" s="412"/>
      <c r="C215" s="412" t="str">
        <f>'Templ-Mats'!B117</f>
        <v>AF65</v>
      </c>
      <c r="D215" s="412" t="str">
        <f>'Templ-Mats'!C117</f>
        <v>Calcitic - dolomitic - limestone - marble - and granite - 1920 kg/m3 - 13mm</v>
      </c>
      <c r="E215" s="412"/>
      <c r="F215" s="418">
        <f t="shared" si="10"/>
        <v>8.1249999999999985E-3</v>
      </c>
      <c r="G215" s="412">
        <f>'Templ-Mats'!J117</f>
        <v>1.6</v>
      </c>
      <c r="H215" s="412">
        <f>'Templ-Mats'!G117</f>
        <v>13</v>
      </c>
      <c r="I215" s="412" t="str">
        <f>IF('Templ-Cons'!L142="","",'Templ-Cons'!L142)</f>
        <v/>
      </c>
      <c r="J215" s="412" t="str">
        <f>IF('Templ-Cons'!F142="","",'Templ-Cons'!F142)</f>
        <v/>
      </c>
      <c r="K215" s="412" t="str">
        <f>IF('Templ-Cons'!H142="","",'Templ-Cons'!H142)</f>
        <v/>
      </c>
      <c r="L215" s="412" t="str">
        <f>IF('Templ-Cons'!G142="","",'Templ-Cons'!G142)</f>
        <v/>
      </c>
      <c r="M215" s="412" t="str">
        <f>IF('Templ-Cons'!H142="","",'Templ-Cons'!H142)</f>
        <v/>
      </c>
      <c r="N215" s="412" t="str">
        <f>IF('Templ-Cons'!I142="","",'Templ-Cons'!I142)</f>
        <v/>
      </c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412"/>
      <c r="Z215" s="412"/>
      <c r="AA215" s="412"/>
      <c r="AB215" s="412"/>
      <c r="AC215" s="412"/>
      <c r="AD215" s="412"/>
    </row>
    <row r="216" spans="1:30">
      <c r="A216" s="412"/>
      <c r="B216" s="412"/>
      <c r="C216" s="412" t="str">
        <f>'Templ-Mats'!B118</f>
        <v>AF66</v>
      </c>
      <c r="D216" s="412" t="str">
        <f>'Templ-Mats'!C118</f>
        <v>Calcitic - dolomitic - limestone - marble - and granite - 1600 kg/m3 - 13mm</v>
      </c>
      <c r="E216" s="412"/>
      <c r="F216" s="418">
        <f t="shared" si="10"/>
        <v>1.1818181818181816E-2</v>
      </c>
      <c r="G216" s="412">
        <f>'Templ-Mats'!J118</f>
        <v>1.1000000000000001</v>
      </c>
      <c r="H216" s="412">
        <f>'Templ-Mats'!G118</f>
        <v>13</v>
      </c>
      <c r="I216" s="412" t="str">
        <f>IF('Templ-Cons'!L143="","",'Templ-Cons'!L143)</f>
        <v/>
      </c>
      <c r="J216" s="412" t="str">
        <f>IF('Templ-Cons'!F143="","",'Templ-Cons'!F143)</f>
        <v/>
      </c>
      <c r="K216" s="412" t="str">
        <f>IF('Templ-Cons'!H143="","",'Templ-Cons'!H143)</f>
        <v/>
      </c>
      <c r="L216" s="412" t="str">
        <f>IF('Templ-Cons'!G143="","",'Templ-Cons'!G143)</f>
        <v/>
      </c>
      <c r="M216" s="412" t="str">
        <f>IF('Templ-Cons'!H143="","",'Templ-Cons'!H143)</f>
        <v/>
      </c>
      <c r="N216" s="412" t="str">
        <f>IF('Templ-Cons'!I143="","",'Templ-Cons'!I143)</f>
        <v/>
      </c>
      <c r="O216" s="412"/>
      <c r="P216" s="412"/>
      <c r="Q216" s="412"/>
      <c r="R216" s="412"/>
      <c r="S216" s="412"/>
      <c r="T216" s="412"/>
      <c r="U216" s="412"/>
      <c r="V216" s="412"/>
      <c r="W216" s="412"/>
      <c r="X216" s="412"/>
      <c r="Y216" s="412"/>
      <c r="Z216" s="412"/>
      <c r="AA216" s="412"/>
      <c r="AB216" s="412"/>
      <c r="AC216" s="412"/>
      <c r="AD216" s="412"/>
    </row>
    <row r="217" spans="1:30">
      <c r="A217" s="412"/>
      <c r="B217" s="412"/>
      <c r="C217" s="412" t="str">
        <f>'Templ-Mats'!B119</f>
        <v>AF67</v>
      </c>
      <c r="D217" s="412" t="str">
        <f>'Templ-Mats'!C119</f>
        <v>Concrete: Sand and gravel or stone aggregate concretes - 2400 kg/m3 - 51mm</v>
      </c>
      <c r="E217" s="412"/>
      <c r="F217" s="418">
        <f t="shared" si="10"/>
        <v>2.3720930232558141E-2</v>
      </c>
      <c r="G217" s="412">
        <f>'Templ-Mats'!J119</f>
        <v>2.15</v>
      </c>
      <c r="H217" s="412">
        <f>'Templ-Mats'!G119</f>
        <v>51</v>
      </c>
      <c r="I217" s="412" t="str">
        <f>IF('Templ-Cons'!L144="","",'Templ-Cons'!L144)</f>
        <v/>
      </c>
      <c r="J217" s="412" t="str">
        <f>IF('Templ-Cons'!F144="","",'Templ-Cons'!F144)</f>
        <v/>
      </c>
      <c r="K217" s="412" t="str">
        <f>IF('Templ-Cons'!H144="","",'Templ-Cons'!H144)</f>
        <v/>
      </c>
      <c r="L217" s="412" t="str">
        <f>IF('Templ-Cons'!G144="","",'Templ-Cons'!G144)</f>
        <v/>
      </c>
      <c r="M217" s="412" t="str">
        <f>IF('Templ-Cons'!H144="","",'Templ-Cons'!H144)</f>
        <v/>
      </c>
      <c r="N217" s="412" t="str">
        <f>IF('Templ-Cons'!I144="","",'Templ-Cons'!I144)</f>
        <v/>
      </c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412"/>
      <c r="Z217" s="412"/>
      <c r="AA217" s="412"/>
      <c r="AB217" s="412"/>
      <c r="AC217" s="412"/>
      <c r="AD217" s="412"/>
    </row>
    <row r="218" spans="1:30">
      <c r="A218" s="412"/>
      <c r="B218" s="412"/>
      <c r="C218" s="412" t="str">
        <f>'Templ-Mats'!B120</f>
        <v>AF68</v>
      </c>
      <c r="D218" s="412" t="str">
        <f>'Templ-Mats'!C120</f>
        <v>Concrete: Sand and gravel or stone aggregate concretes - 2240 kg/m3 - 51mm</v>
      </c>
      <c r="E218" s="412"/>
      <c r="F218" s="418">
        <f t="shared" si="10"/>
        <v>2.6153846153846153E-2</v>
      </c>
      <c r="G218" s="412">
        <f>'Templ-Mats'!J120</f>
        <v>1.95</v>
      </c>
      <c r="H218" s="412">
        <f>'Templ-Mats'!G120</f>
        <v>51</v>
      </c>
      <c r="I218" s="412" t="str">
        <f>IF('Templ-Cons'!L145="","",'Templ-Cons'!L145)</f>
        <v/>
      </c>
      <c r="J218" s="412" t="str">
        <f>IF('Templ-Cons'!F145="","",'Templ-Cons'!F145)</f>
        <v/>
      </c>
      <c r="K218" s="412" t="str">
        <f>IF('Templ-Cons'!H145="","",'Templ-Cons'!H145)</f>
        <v/>
      </c>
      <c r="L218" s="412" t="str">
        <f>IF('Templ-Cons'!G145="","",'Templ-Cons'!G145)</f>
        <v/>
      </c>
      <c r="M218" s="412" t="str">
        <f>IF('Templ-Cons'!H145="","",'Templ-Cons'!H145)</f>
        <v/>
      </c>
      <c r="N218" s="412" t="str">
        <f>IF('Templ-Cons'!I145="","",'Templ-Cons'!I145)</f>
        <v/>
      </c>
      <c r="O218" s="412"/>
      <c r="P218" s="412"/>
      <c r="Q218" s="412"/>
      <c r="R218" s="412"/>
      <c r="S218" s="412"/>
      <c r="T218" s="412"/>
      <c r="U218" s="412"/>
      <c r="V218" s="412"/>
      <c r="W218" s="412"/>
      <c r="X218" s="412"/>
      <c r="Y218" s="412"/>
      <c r="Z218" s="412"/>
      <c r="AA218" s="412"/>
      <c r="AB218" s="412"/>
      <c r="AC218" s="412"/>
      <c r="AD218" s="412"/>
    </row>
    <row r="219" spans="1:30">
      <c r="A219" s="412"/>
      <c r="B219" s="412"/>
      <c r="C219" s="412" t="str">
        <f>'Templ-Mats'!B121</f>
        <v>AF69</v>
      </c>
      <c r="D219" s="412" t="str">
        <f>'Templ-Mats'!C121</f>
        <v>Concrete: Sand and gravel or stone aggregate concretes - 2080 kg/m3 - 51mm</v>
      </c>
      <c r="E219" s="412"/>
      <c r="F219" s="418">
        <f t="shared" si="10"/>
        <v>3.5172413793103444E-2</v>
      </c>
      <c r="G219" s="412">
        <f>'Templ-Mats'!J121</f>
        <v>1.45</v>
      </c>
      <c r="H219" s="412">
        <f>'Templ-Mats'!G121</f>
        <v>51</v>
      </c>
      <c r="I219" s="412" t="str">
        <f>IF('Templ-Cons'!L146="","",'Templ-Cons'!L146)</f>
        <v/>
      </c>
      <c r="J219" s="412" t="str">
        <f>IF('Templ-Cons'!F146="","",'Templ-Cons'!F146)</f>
        <v/>
      </c>
      <c r="K219" s="412" t="str">
        <f>IF('Templ-Cons'!H146="","",'Templ-Cons'!H146)</f>
        <v/>
      </c>
      <c r="L219" s="412" t="str">
        <f>IF('Templ-Cons'!G146="","",'Templ-Cons'!G146)</f>
        <v/>
      </c>
      <c r="M219" s="412" t="str">
        <f>IF('Templ-Cons'!H146="","",'Templ-Cons'!H146)</f>
        <v/>
      </c>
      <c r="N219" s="412" t="str">
        <f>IF('Templ-Cons'!I146="","",'Templ-Cons'!I146)</f>
        <v/>
      </c>
      <c r="O219" s="412"/>
      <c r="P219" s="412"/>
      <c r="Q219" s="412"/>
      <c r="R219" s="412"/>
      <c r="S219" s="412"/>
      <c r="T219" s="412"/>
      <c r="U219" s="412"/>
      <c r="V219" s="412"/>
      <c r="W219" s="412"/>
      <c r="X219" s="412"/>
      <c r="Y219" s="412"/>
      <c r="Z219" s="412"/>
      <c r="AA219" s="412"/>
      <c r="AB219" s="412"/>
      <c r="AC219" s="412"/>
      <c r="AD219" s="412"/>
    </row>
    <row r="220" spans="1:30">
      <c r="A220" s="412"/>
      <c r="B220" s="412"/>
      <c r="C220" s="412" t="str">
        <f>'Templ-Mats'!B122</f>
        <v>AF70</v>
      </c>
      <c r="D220" s="412" t="str">
        <f>'Templ-Mats'!C122</f>
        <v>Concrete: Limestone concretes - 2240 kg/m3 - 51mm</v>
      </c>
      <c r="E220" s="412"/>
      <c r="F220" s="418">
        <f t="shared" si="10"/>
        <v>3.1874999999999994E-2</v>
      </c>
      <c r="G220" s="412">
        <f>'Templ-Mats'!J122</f>
        <v>1.6</v>
      </c>
      <c r="H220" s="412">
        <f>'Templ-Mats'!G122</f>
        <v>51</v>
      </c>
      <c r="I220" s="412" t="str">
        <f>IF('Templ-Cons'!L147="","",'Templ-Cons'!L147)</f>
        <v/>
      </c>
      <c r="J220" s="412" t="str">
        <f>IF('Templ-Cons'!F147="","",'Templ-Cons'!F147)</f>
        <v/>
      </c>
      <c r="K220" s="412" t="str">
        <f>IF('Templ-Cons'!H147="","",'Templ-Cons'!H147)</f>
        <v/>
      </c>
      <c r="L220" s="412" t="str">
        <f>IF('Templ-Cons'!G147="","",'Templ-Cons'!G147)</f>
        <v/>
      </c>
      <c r="M220" s="412" t="str">
        <f>IF('Templ-Cons'!H147="","",'Templ-Cons'!H147)</f>
        <v/>
      </c>
      <c r="N220" s="412" t="str">
        <f>IF('Templ-Cons'!I147="","",'Templ-Cons'!I147)</f>
        <v/>
      </c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412"/>
      <c r="Z220" s="412"/>
      <c r="AA220" s="412"/>
      <c r="AB220" s="412"/>
      <c r="AC220" s="412"/>
      <c r="AD220" s="412"/>
    </row>
    <row r="221" spans="1:30">
      <c r="A221" s="412"/>
      <c r="B221" s="412"/>
      <c r="C221" s="412" t="str">
        <f>'Templ-Mats'!B123</f>
        <v>AF71</v>
      </c>
      <c r="D221" s="412" t="str">
        <f>'Templ-Mats'!C123</f>
        <v>Concrete: Limestone concretes - 1920 kg/m3 - 51mm</v>
      </c>
      <c r="E221" s="412"/>
      <c r="F221" s="418">
        <f t="shared" si="10"/>
        <v>4.4736842105263158E-2</v>
      </c>
      <c r="G221" s="412">
        <f>'Templ-Mats'!J123</f>
        <v>1.1399999999999999</v>
      </c>
      <c r="H221" s="412">
        <f>'Templ-Mats'!G123</f>
        <v>51</v>
      </c>
      <c r="I221" s="412" t="str">
        <f>IF('Templ-Cons'!L148="","",'Templ-Cons'!L148)</f>
        <v/>
      </c>
      <c r="J221" s="412" t="str">
        <f>IF('Templ-Cons'!F148="","",'Templ-Cons'!F148)</f>
        <v/>
      </c>
      <c r="K221" s="412" t="str">
        <f>IF('Templ-Cons'!H148="","",'Templ-Cons'!H148)</f>
        <v/>
      </c>
      <c r="L221" s="412" t="str">
        <f>IF('Templ-Cons'!G148="","",'Templ-Cons'!G148)</f>
        <v/>
      </c>
      <c r="M221" s="412" t="str">
        <f>IF('Templ-Cons'!H148="","",'Templ-Cons'!H148)</f>
        <v/>
      </c>
      <c r="N221" s="412" t="str">
        <f>IF('Templ-Cons'!I148="","",'Templ-Cons'!I148)</f>
        <v/>
      </c>
      <c r="O221" s="412"/>
      <c r="P221" s="412"/>
      <c r="Q221" s="412"/>
      <c r="R221" s="412"/>
      <c r="S221" s="412"/>
      <c r="T221" s="412"/>
      <c r="U221" s="412"/>
      <c r="V221" s="412"/>
      <c r="W221" s="412"/>
      <c r="X221" s="412"/>
      <c r="Y221" s="412"/>
      <c r="Z221" s="412"/>
      <c r="AA221" s="412"/>
      <c r="AB221" s="412"/>
      <c r="AC221" s="412"/>
      <c r="AD221" s="412"/>
    </row>
    <row r="222" spans="1:30">
      <c r="A222" s="412"/>
      <c r="B222" s="412"/>
      <c r="C222" s="412" t="str">
        <f>'Templ-Mats'!B124</f>
        <v>AF72</v>
      </c>
      <c r="D222" s="412" t="str">
        <f>'Templ-Mats'!C124</f>
        <v>Concrete: Limestone concretes - 1600 kg/m3 - 51mm</v>
      </c>
      <c r="E222" s="412"/>
      <c r="F222" s="418">
        <f t="shared" si="10"/>
        <v>6.4556962025316453E-2</v>
      </c>
      <c r="G222" s="412">
        <f>'Templ-Mats'!J124</f>
        <v>0.79</v>
      </c>
      <c r="H222" s="412">
        <f>'Templ-Mats'!G124</f>
        <v>51</v>
      </c>
      <c r="I222" s="412" t="str">
        <f>IF('Templ-Cons'!L149="","",'Templ-Cons'!L149)</f>
        <v/>
      </c>
      <c r="J222" s="412" t="str">
        <f>IF('Templ-Cons'!F149="","",'Templ-Cons'!F149)</f>
        <v/>
      </c>
      <c r="K222" s="412" t="str">
        <f>IF('Templ-Cons'!H149="","",'Templ-Cons'!H149)</f>
        <v/>
      </c>
      <c r="L222" s="412" t="str">
        <f>IF('Templ-Cons'!G149="","",'Templ-Cons'!G149)</f>
        <v/>
      </c>
      <c r="M222" s="412" t="str">
        <f>IF('Templ-Cons'!H149="","",'Templ-Cons'!H149)</f>
        <v/>
      </c>
      <c r="N222" s="412" t="str">
        <f>IF('Templ-Cons'!I149="","",'Templ-Cons'!I149)</f>
        <v/>
      </c>
      <c r="O222" s="412"/>
      <c r="P222" s="412"/>
      <c r="Q222" s="412"/>
      <c r="R222" s="412"/>
      <c r="S222" s="412"/>
      <c r="T222" s="412"/>
      <c r="U222" s="412"/>
      <c r="V222" s="412"/>
      <c r="W222" s="412"/>
      <c r="X222" s="412"/>
      <c r="Y222" s="412"/>
      <c r="Z222" s="412"/>
      <c r="AA222" s="412"/>
      <c r="AB222" s="412"/>
      <c r="AC222" s="412"/>
      <c r="AD222" s="412"/>
    </row>
    <row r="223" spans="1:30">
      <c r="A223" s="412"/>
      <c r="B223" s="412"/>
      <c r="C223" s="412" t="str">
        <f>'Templ-Mats'!B125</f>
        <v>AF73</v>
      </c>
      <c r="D223" s="412" t="str">
        <f>'Templ-Mats'!C125</f>
        <v>Concrete: Gypsum-fiber concrete (87.5% gypsum - 12.5% wood chips) - 51mm</v>
      </c>
      <c r="E223" s="412"/>
      <c r="F223" s="418">
        <f t="shared" si="10"/>
        <v>0.21249999999999999</v>
      </c>
      <c r="G223" s="412">
        <f>'Templ-Mats'!J125</f>
        <v>0.24</v>
      </c>
      <c r="H223" s="412">
        <f>'Templ-Mats'!G125</f>
        <v>51</v>
      </c>
      <c r="I223" s="412" t="str">
        <f>IF('Templ-Cons'!L150="","",'Templ-Cons'!L150)</f>
        <v/>
      </c>
      <c r="J223" s="412" t="str">
        <f>IF('Templ-Cons'!F150="","",'Templ-Cons'!F150)</f>
        <v/>
      </c>
      <c r="K223" s="412" t="str">
        <f>IF('Templ-Cons'!H150="","",'Templ-Cons'!H150)</f>
        <v/>
      </c>
      <c r="L223" s="412" t="str">
        <f>IF('Templ-Cons'!G150="","",'Templ-Cons'!G150)</f>
        <v/>
      </c>
      <c r="M223" s="412" t="str">
        <f>IF('Templ-Cons'!H150="","",'Templ-Cons'!H150)</f>
        <v/>
      </c>
      <c r="N223" s="412" t="str">
        <f>IF('Templ-Cons'!I150="","",'Templ-Cons'!I150)</f>
        <v/>
      </c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412"/>
      <c r="AA223" s="412"/>
      <c r="AB223" s="412"/>
      <c r="AC223" s="412"/>
      <c r="AD223" s="412"/>
    </row>
    <row r="224" spans="1:30">
      <c r="A224" s="412"/>
      <c r="B224" s="412"/>
      <c r="C224" s="412" t="str">
        <f>'Templ-Mats'!B126</f>
        <v>AF74</v>
      </c>
      <c r="D224" s="412" t="str">
        <f>'Templ-Mats'!C126</f>
        <v>Concrete: Cement/lime - mortar - and stucco - 1920 kg/m3 - 51mm</v>
      </c>
      <c r="E224" s="412"/>
      <c r="F224" s="418">
        <f t="shared" si="10"/>
        <v>3.6428571428571428E-2</v>
      </c>
      <c r="G224" s="412">
        <f>'Templ-Mats'!J126</f>
        <v>1.4</v>
      </c>
      <c r="H224" s="412">
        <f>'Templ-Mats'!G126</f>
        <v>51</v>
      </c>
      <c r="I224" s="412" t="str">
        <f>IF('Templ-Cons'!L151="","",'Templ-Cons'!L151)</f>
        <v/>
      </c>
      <c r="J224" s="412" t="str">
        <f>IF('Templ-Cons'!F151="","",'Templ-Cons'!F151)</f>
        <v/>
      </c>
      <c r="K224" s="412" t="str">
        <f>IF('Templ-Cons'!H151="","",'Templ-Cons'!H151)</f>
        <v/>
      </c>
      <c r="L224" s="412" t="str">
        <f>IF('Templ-Cons'!G151="","",'Templ-Cons'!G151)</f>
        <v/>
      </c>
      <c r="M224" s="412" t="str">
        <f>IF('Templ-Cons'!H151="","",'Templ-Cons'!H151)</f>
        <v/>
      </c>
      <c r="N224" s="412" t="str">
        <f>IF('Templ-Cons'!I151="","",'Templ-Cons'!I151)</f>
        <v/>
      </c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412"/>
      <c r="AA224" s="412"/>
      <c r="AB224" s="412"/>
      <c r="AC224" s="412"/>
      <c r="AD224" s="412"/>
    </row>
    <row r="225" spans="1:30">
      <c r="A225" s="412"/>
      <c r="B225" s="412"/>
      <c r="C225" s="412" t="str">
        <f>'Templ-Mats'!B127</f>
        <v>AF75</v>
      </c>
      <c r="D225" s="412" t="str">
        <f>'Templ-Mats'!C127</f>
        <v>Concrete: Cement/lime - mortar - and stucco - 1600 kg/m3 - 51mm</v>
      </c>
      <c r="E225" s="412"/>
      <c r="F225" s="418">
        <f t="shared" si="10"/>
        <v>5.2577319587628867E-2</v>
      </c>
      <c r="G225" s="412">
        <f>'Templ-Mats'!J127</f>
        <v>0.97</v>
      </c>
      <c r="H225" s="412">
        <f>'Templ-Mats'!G127</f>
        <v>51</v>
      </c>
      <c r="I225" s="412" t="str">
        <f>IF('Templ-Cons'!L152="","",'Templ-Cons'!L152)</f>
        <v/>
      </c>
      <c r="J225" s="412" t="str">
        <f>IF('Templ-Cons'!F152="","",'Templ-Cons'!F152)</f>
        <v/>
      </c>
      <c r="K225" s="412" t="str">
        <f>IF('Templ-Cons'!H152="","",'Templ-Cons'!H152)</f>
        <v/>
      </c>
      <c r="L225" s="412" t="str">
        <f>IF('Templ-Cons'!G152="","",'Templ-Cons'!G152)</f>
        <v/>
      </c>
      <c r="M225" s="412" t="str">
        <f>IF('Templ-Cons'!H152="","",'Templ-Cons'!H152)</f>
        <v/>
      </c>
      <c r="N225" s="412" t="str">
        <f>IF('Templ-Cons'!I152="","",'Templ-Cons'!I152)</f>
        <v/>
      </c>
      <c r="O225" s="412"/>
      <c r="P225" s="412"/>
      <c r="Q225" s="412"/>
      <c r="R225" s="412"/>
      <c r="S225" s="412"/>
      <c r="T225" s="412"/>
      <c r="U225" s="412"/>
      <c r="V225" s="412"/>
      <c r="W225" s="412"/>
      <c r="X225" s="412"/>
      <c r="Y225" s="412"/>
      <c r="Z225" s="412"/>
      <c r="AA225" s="412"/>
      <c r="AB225" s="412"/>
      <c r="AC225" s="412"/>
      <c r="AD225" s="412"/>
    </row>
    <row r="226" spans="1:30">
      <c r="A226" s="412"/>
      <c r="B226" s="412"/>
      <c r="C226" s="412" t="str">
        <f>'Templ-Mats'!B128</f>
        <v>AF76</v>
      </c>
      <c r="D226" s="412" t="str">
        <f>'Templ-Mats'!C128</f>
        <v>Concrete: Cement/lime - mortar - and stucco - 1600 kg/m3 - 51mm</v>
      </c>
      <c r="E226" s="412"/>
      <c r="F226" s="418">
        <f t="shared" si="10"/>
        <v>5.2577319587628867E-2</v>
      </c>
      <c r="G226" s="412">
        <f>'Templ-Mats'!J128</f>
        <v>0.97</v>
      </c>
      <c r="H226" s="412">
        <f>'Templ-Mats'!G128</f>
        <v>51</v>
      </c>
      <c r="I226" s="412" t="str">
        <f>IF('Templ-Cons'!L153="","",'Templ-Cons'!L153)</f>
        <v/>
      </c>
      <c r="J226" s="412" t="str">
        <f>IF('Templ-Cons'!F153="","",'Templ-Cons'!F153)</f>
        <v/>
      </c>
      <c r="K226" s="412" t="str">
        <f>IF('Templ-Cons'!H153="","",'Templ-Cons'!H153)</f>
        <v/>
      </c>
      <c r="L226" s="412" t="str">
        <f>IF('Templ-Cons'!G153="","",'Templ-Cons'!G153)</f>
        <v/>
      </c>
      <c r="M226" s="412" t="str">
        <f>IF('Templ-Cons'!H153="","",'Templ-Cons'!H153)</f>
        <v/>
      </c>
      <c r="N226" s="412" t="str">
        <f>IF('Templ-Cons'!I153="","",'Templ-Cons'!I153)</f>
        <v/>
      </c>
      <c r="O226" s="412"/>
      <c r="P226" s="412"/>
      <c r="Q226" s="412"/>
      <c r="R226" s="412"/>
      <c r="S226" s="412"/>
      <c r="T226" s="412"/>
      <c r="U226" s="412"/>
      <c r="V226" s="412"/>
      <c r="W226" s="412"/>
      <c r="X226" s="412"/>
      <c r="Y226" s="412"/>
      <c r="Z226" s="412"/>
      <c r="AA226" s="412"/>
      <c r="AB226" s="412"/>
      <c r="AC226" s="412"/>
      <c r="AD226" s="412"/>
    </row>
    <row r="227" spans="1:30">
      <c r="A227" s="412"/>
      <c r="B227" s="412"/>
      <c r="C227" s="412" t="str">
        <f>'Templ-Mats'!B129</f>
        <v>AF77</v>
      </c>
      <c r="D227" s="412" t="str">
        <f>'Templ-Mats'!C129</f>
        <v>Concrete: Cement/lime - mortar - and stucco - 1280 kg/m3 - 51mm</v>
      </c>
      <c r="E227" s="412"/>
      <c r="F227" s="418">
        <f t="shared" si="10"/>
        <v>7.8461538461538458E-2</v>
      </c>
      <c r="G227" s="412">
        <f>'Templ-Mats'!J129</f>
        <v>0.65</v>
      </c>
      <c r="H227" s="412">
        <f>'Templ-Mats'!G129</f>
        <v>51</v>
      </c>
      <c r="I227" s="412" t="str">
        <f>IF('Templ-Cons'!L154="","",'Templ-Cons'!L154)</f>
        <v/>
      </c>
      <c r="J227" s="412" t="str">
        <f>IF('Templ-Cons'!F154="","",'Templ-Cons'!F154)</f>
        <v/>
      </c>
      <c r="K227" s="412" t="str">
        <f>IF('Templ-Cons'!H154="","",'Templ-Cons'!H154)</f>
        <v/>
      </c>
      <c r="L227" s="412" t="str">
        <f>IF('Templ-Cons'!G154="","",'Templ-Cons'!G154)</f>
        <v/>
      </c>
      <c r="M227" s="412" t="str">
        <f>IF('Templ-Cons'!H154="","",'Templ-Cons'!H154)</f>
        <v/>
      </c>
      <c r="N227" s="412" t="str">
        <f>IF('Templ-Cons'!I154="","",'Templ-Cons'!I154)</f>
        <v/>
      </c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412"/>
      <c r="Z227" s="412"/>
      <c r="AA227" s="412"/>
      <c r="AB227" s="412"/>
      <c r="AC227" s="412"/>
      <c r="AD227" s="412"/>
    </row>
    <row r="228" spans="1:30">
      <c r="A228" s="412"/>
      <c r="B228" s="412"/>
      <c r="C228" s="412" t="str">
        <f>'Templ-Mats'!B130</f>
        <v>AF78</v>
      </c>
      <c r="D228" s="412" t="str">
        <f>'Templ-Mats'!C130</f>
        <v>Concrete: Expanded shale - clay - slate - expanded slags - cinders - pumice - 1920 kg/m3 - 51mm</v>
      </c>
      <c r="E228" s="412"/>
      <c r="F228" s="418">
        <f t="shared" si="10"/>
        <v>4.6363636363636357E-2</v>
      </c>
      <c r="G228" s="412">
        <f>'Templ-Mats'!J130</f>
        <v>1.1000000000000001</v>
      </c>
      <c r="H228" s="412">
        <f>'Templ-Mats'!G130</f>
        <v>51</v>
      </c>
      <c r="I228" s="412" t="str">
        <f>IF('Templ-Cons'!L155="","",'Templ-Cons'!L155)</f>
        <v/>
      </c>
      <c r="J228" s="412" t="str">
        <f>IF('Templ-Cons'!F155="","",'Templ-Cons'!F155)</f>
        <v/>
      </c>
      <c r="K228" s="412" t="str">
        <f>IF('Templ-Cons'!H155="","",'Templ-Cons'!H155)</f>
        <v/>
      </c>
      <c r="L228" s="412" t="str">
        <f>IF('Templ-Cons'!G155="","",'Templ-Cons'!G155)</f>
        <v/>
      </c>
      <c r="M228" s="412" t="str">
        <f>IF('Templ-Cons'!H155="","",'Templ-Cons'!H155)</f>
        <v/>
      </c>
      <c r="N228" s="412" t="str">
        <f>IF('Templ-Cons'!I155="","",'Templ-Cons'!I155)</f>
        <v/>
      </c>
      <c r="O228" s="412"/>
      <c r="P228" s="412"/>
      <c r="Q228" s="412"/>
      <c r="R228" s="412"/>
      <c r="S228" s="412"/>
      <c r="T228" s="412"/>
      <c r="U228" s="412"/>
      <c r="V228" s="412"/>
      <c r="W228" s="412"/>
      <c r="X228" s="412"/>
      <c r="Y228" s="412"/>
      <c r="Z228" s="412"/>
      <c r="AA228" s="412"/>
      <c r="AB228" s="412"/>
      <c r="AC228" s="412"/>
      <c r="AD228" s="412"/>
    </row>
    <row r="229" spans="1:30">
      <c r="A229" s="412"/>
      <c r="B229" s="412"/>
      <c r="C229" s="412" t="str">
        <f>'Templ-Mats'!B131</f>
        <v>AF79</v>
      </c>
      <c r="D229" s="412" t="str">
        <f>'Templ-Mats'!C131</f>
        <v>Concrete: Expanded shale - clay - slate - expanded slags - cinders - pumice - 1600 kg/m3 - 51mm</v>
      </c>
      <c r="E229" s="412"/>
      <c r="F229" s="418">
        <f t="shared" si="10"/>
        <v>6.4968152866242038E-2</v>
      </c>
      <c r="G229" s="412">
        <f>'Templ-Mats'!J131</f>
        <v>0.78500000000000003</v>
      </c>
      <c r="H229" s="412">
        <f>'Templ-Mats'!G131</f>
        <v>51</v>
      </c>
      <c r="I229" s="412" t="str">
        <f>IF('Templ-Cons'!L156="","",'Templ-Cons'!L156)</f>
        <v/>
      </c>
      <c r="J229" s="412" t="str">
        <f>IF('Templ-Cons'!F156="","",'Templ-Cons'!F156)</f>
        <v/>
      </c>
      <c r="K229" s="412" t="str">
        <f>IF('Templ-Cons'!H156="","",'Templ-Cons'!H156)</f>
        <v/>
      </c>
      <c r="L229" s="412" t="str">
        <f>IF('Templ-Cons'!G156="","",'Templ-Cons'!G156)</f>
        <v/>
      </c>
      <c r="M229" s="412" t="str">
        <f>IF('Templ-Cons'!H156="","",'Templ-Cons'!H156)</f>
        <v/>
      </c>
      <c r="N229" s="412" t="str">
        <f>IF('Templ-Cons'!I156="","",'Templ-Cons'!I156)</f>
        <v/>
      </c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412"/>
      <c r="AA229" s="412"/>
      <c r="AB229" s="412"/>
      <c r="AC229" s="412"/>
      <c r="AD229" s="412"/>
    </row>
    <row r="230" spans="1:30">
      <c r="A230" s="412"/>
      <c r="B230" s="412"/>
      <c r="C230" s="412" t="str">
        <f>'Templ-Mats'!B132</f>
        <v>AF80</v>
      </c>
      <c r="D230" s="412" t="str">
        <f>'Templ-Mats'!C132</f>
        <v>Concrete: Expanded shale - clay - slate - expanded slags - cinders - pumice - 1280 kg/m3 - 51mm</v>
      </c>
      <c r="E230" s="412"/>
      <c r="F230" s="418">
        <f t="shared" si="10"/>
        <v>9.5327102803738309E-2</v>
      </c>
      <c r="G230" s="412">
        <f>'Templ-Mats'!J132</f>
        <v>0.53500000000000003</v>
      </c>
      <c r="H230" s="412">
        <f>'Templ-Mats'!G132</f>
        <v>51</v>
      </c>
      <c r="I230" s="412" t="str">
        <f>IF('Templ-Cons'!L157="","",'Templ-Cons'!L157)</f>
        <v/>
      </c>
      <c r="J230" s="412" t="str">
        <f>IF('Templ-Cons'!F157="","",'Templ-Cons'!F157)</f>
        <v/>
      </c>
      <c r="K230" s="412" t="str">
        <f>IF('Templ-Cons'!H157="","",'Templ-Cons'!H157)</f>
        <v/>
      </c>
      <c r="L230" s="412" t="str">
        <f>IF('Templ-Cons'!G157="","",'Templ-Cons'!G157)</f>
        <v/>
      </c>
      <c r="M230" s="412" t="str">
        <f>IF('Templ-Cons'!H157="","",'Templ-Cons'!H157)</f>
        <v/>
      </c>
      <c r="N230" s="412" t="str">
        <f>IF('Templ-Cons'!I157="","",'Templ-Cons'!I157)</f>
        <v/>
      </c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412"/>
      <c r="AA230" s="412"/>
      <c r="AB230" s="412"/>
      <c r="AC230" s="412"/>
      <c r="AD230" s="412"/>
    </row>
    <row r="231" spans="1:30">
      <c r="A231" s="412"/>
      <c r="B231" s="412"/>
      <c r="C231" s="412" t="str">
        <f>'Templ-Mats'!B133</f>
        <v>AF81</v>
      </c>
      <c r="D231" s="412" t="str">
        <f>'Templ-Mats'!C133</f>
        <v>Concrete: Expanded shale - clay - slate - expanded slags - cinders - pumice - 960 kg/m3 - 51mm</v>
      </c>
      <c r="E231" s="412"/>
      <c r="F231" s="418">
        <f t="shared" si="10"/>
        <v>0.15454545454545454</v>
      </c>
      <c r="G231" s="412">
        <f>'Templ-Mats'!J133</f>
        <v>0.33</v>
      </c>
      <c r="H231" s="412">
        <f>'Templ-Mats'!G133</f>
        <v>51</v>
      </c>
      <c r="I231" s="412" t="str">
        <f>IF('Templ-Cons'!L158="","",'Templ-Cons'!L158)</f>
        <v/>
      </c>
      <c r="J231" s="412" t="str">
        <f>IF('Templ-Cons'!F158="","",'Templ-Cons'!F158)</f>
        <v/>
      </c>
      <c r="K231" s="412" t="str">
        <f>IF('Templ-Cons'!H158="","",'Templ-Cons'!H158)</f>
        <v/>
      </c>
      <c r="L231" s="412" t="str">
        <f>IF('Templ-Cons'!G158="","",'Templ-Cons'!G158)</f>
        <v/>
      </c>
      <c r="M231" s="412" t="str">
        <f>IF('Templ-Cons'!H158="","",'Templ-Cons'!H158)</f>
        <v/>
      </c>
      <c r="N231" s="412" t="str">
        <f>IF('Templ-Cons'!I158="","",'Templ-Cons'!I158)</f>
        <v/>
      </c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412"/>
      <c r="AA231" s="412"/>
      <c r="AB231" s="412"/>
      <c r="AC231" s="412"/>
      <c r="AD231" s="412"/>
    </row>
    <row r="232" spans="1:30">
      <c r="A232" s="412"/>
      <c r="B232" s="412"/>
      <c r="C232" s="412" t="str">
        <f>'Templ-Mats'!B134</f>
        <v>AF82</v>
      </c>
      <c r="D232" s="412" t="str">
        <f>'Templ-Mats'!C134</f>
        <v>Concrete: Expanded shale - clay - slate - expanded slags - cinders - pumice - 640 kg/m3 - 51mm</v>
      </c>
      <c r="E232" s="412"/>
      <c r="F232" s="418">
        <f t="shared" si="10"/>
        <v>0.28333333333333333</v>
      </c>
      <c r="G232" s="412">
        <f>'Templ-Mats'!J134</f>
        <v>0.18</v>
      </c>
      <c r="H232" s="412">
        <f>'Templ-Mats'!G134</f>
        <v>51</v>
      </c>
      <c r="I232" s="412" t="str">
        <f>IF('Templ-Cons'!L159="","",'Templ-Cons'!L159)</f>
        <v/>
      </c>
      <c r="J232" s="412" t="str">
        <f>IF('Templ-Cons'!F159="","",'Templ-Cons'!F159)</f>
        <v/>
      </c>
      <c r="K232" s="412" t="str">
        <f>IF('Templ-Cons'!H159="","",'Templ-Cons'!H159)</f>
        <v/>
      </c>
      <c r="L232" s="412" t="str">
        <f>IF('Templ-Cons'!G159="","",'Templ-Cons'!G159)</f>
        <v/>
      </c>
      <c r="M232" s="412" t="str">
        <f>IF('Templ-Cons'!H159="","",'Templ-Cons'!H159)</f>
        <v/>
      </c>
      <c r="N232" s="412" t="str">
        <f>IF('Templ-Cons'!I159="","",'Templ-Cons'!I159)</f>
        <v/>
      </c>
      <c r="O232" s="412"/>
      <c r="P232" s="412"/>
      <c r="Q232" s="412"/>
      <c r="R232" s="412"/>
      <c r="S232" s="412"/>
      <c r="T232" s="412"/>
      <c r="U232" s="412"/>
      <c r="V232" s="412"/>
      <c r="W232" s="412"/>
      <c r="X232" s="412"/>
      <c r="Y232" s="412"/>
      <c r="Z232" s="412"/>
      <c r="AA232" s="412"/>
      <c r="AB232" s="412"/>
      <c r="AC232" s="412"/>
      <c r="AD232" s="412"/>
    </row>
    <row r="233" spans="1:30">
      <c r="A233" s="412"/>
      <c r="B233" s="412"/>
      <c r="C233" s="412" t="str">
        <f>'Templ-Mats'!B135</f>
        <v>AF83</v>
      </c>
      <c r="D233" s="412" t="str">
        <f>'Templ-Mats'!C135</f>
        <v>Concrete: Perlite - vermiculite - and polystyrene beads - 800 kg/m3 - 51mm</v>
      </c>
      <c r="E233" s="412"/>
      <c r="F233" s="418">
        <f t="shared" ref="F233:F296" si="11">(H233/1000)/G233</f>
        <v>0.19245283018867923</v>
      </c>
      <c r="G233" s="412">
        <f>'Templ-Mats'!J135</f>
        <v>0.26500000000000001</v>
      </c>
      <c r="H233" s="412">
        <f>'Templ-Mats'!G135</f>
        <v>51</v>
      </c>
      <c r="I233" s="412" t="str">
        <f>IF('Templ-Cons'!L160="","",'Templ-Cons'!L160)</f>
        <v/>
      </c>
      <c r="J233" s="412" t="str">
        <f>IF('Templ-Cons'!F160="","",'Templ-Cons'!F160)</f>
        <v/>
      </c>
      <c r="K233" s="412" t="str">
        <f>IF('Templ-Cons'!H160="","",'Templ-Cons'!H160)</f>
        <v/>
      </c>
      <c r="L233" s="412" t="str">
        <f>IF('Templ-Cons'!G160="","",'Templ-Cons'!G160)</f>
        <v/>
      </c>
      <c r="M233" s="412" t="str">
        <f>IF('Templ-Cons'!H160="","",'Templ-Cons'!H160)</f>
        <v/>
      </c>
      <c r="N233" s="412" t="str">
        <f>IF('Templ-Cons'!I160="","",'Templ-Cons'!I160)</f>
        <v/>
      </c>
      <c r="O233" s="412"/>
      <c r="P233" s="412"/>
      <c r="Q233" s="412"/>
      <c r="R233" s="412"/>
      <c r="S233" s="412"/>
      <c r="T233" s="412"/>
      <c r="U233" s="412"/>
      <c r="V233" s="412"/>
      <c r="W233" s="412"/>
      <c r="X233" s="412"/>
      <c r="Y233" s="412"/>
      <c r="Z233" s="412"/>
      <c r="AA233" s="412"/>
      <c r="AB233" s="412"/>
      <c r="AC233" s="412"/>
      <c r="AD233" s="412"/>
    </row>
    <row r="234" spans="1:30">
      <c r="A234" s="412"/>
      <c r="B234" s="412"/>
      <c r="C234" s="412" t="str">
        <f>'Templ-Mats'!B136</f>
        <v>AF84</v>
      </c>
      <c r="D234" s="412" t="str">
        <f>'Templ-Mats'!C136</f>
        <v>Concrete: Perlite - vermiculite - and polystyrene beads - 640 kg/m3 - 51mm</v>
      </c>
      <c r="E234" s="412"/>
      <c r="F234" s="418">
        <f t="shared" si="11"/>
        <v>0.24285714285714285</v>
      </c>
      <c r="G234" s="412">
        <f>'Templ-Mats'!J136</f>
        <v>0.21</v>
      </c>
      <c r="H234" s="412">
        <f>'Templ-Mats'!G136</f>
        <v>51</v>
      </c>
      <c r="I234" s="412" t="str">
        <f>IF('Templ-Cons'!L161="","",'Templ-Cons'!L161)</f>
        <v/>
      </c>
      <c r="J234" s="412" t="str">
        <f>IF('Templ-Cons'!F161="","",'Templ-Cons'!F161)</f>
        <v/>
      </c>
      <c r="K234" s="412" t="str">
        <f>IF('Templ-Cons'!H161="","",'Templ-Cons'!H161)</f>
        <v/>
      </c>
      <c r="L234" s="412" t="str">
        <f>IF('Templ-Cons'!G161="","",'Templ-Cons'!G161)</f>
        <v/>
      </c>
      <c r="M234" s="412" t="str">
        <f>IF('Templ-Cons'!H161="","",'Templ-Cons'!H161)</f>
        <v/>
      </c>
      <c r="N234" s="412" t="str">
        <f>IF('Templ-Cons'!I161="","",'Templ-Cons'!I161)</f>
        <v/>
      </c>
      <c r="O234" s="412"/>
      <c r="P234" s="412"/>
      <c r="Q234" s="412"/>
      <c r="R234" s="412"/>
      <c r="S234" s="412"/>
      <c r="T234" s="412"/>
      <c r="U234" s="412"/>
      <c r="V234" s="412"/>
      <c r="W234" s="412"/>
      <c r="X234" s="412"/>
      <c r="Y234" s="412"/>
      <c r="Z234" s="412"/>
      <c r="AA234" s="412"/>
      <c r="AB234" s="412"/>
      <c r="AC234" s="412"/>
      <c r="AD234" s="412"/>
    </row>
    <row r="235" spans="1:30">
      <c r="A235" s="412"/>
      <c r="B235" s="412"/>
      <c r="C235" s="412" t="str">
        <f>'Templ-Mats'!B137</f>
        <v>AF85</v>
      </c>
      <c r="D235" s="412" t="str">
        <f>'Templ-Mats'!C137</f>
        <v>Concrete: Perlite - vermiculite - and polystyrene beads - 480 kg/m3 - 51mm</v>
      </c>
      <c r="E235" s="412"/>
      <c r="F235" s="418">
        <f t="shared" si="11"/>
        <v>0.31874999999999998</v>
      </c>
      <c r="G235" s="412">
        <f>'Templ-Mats'!J137</f>
        <v>0.16</v>
      </c>
      <c r="H235" s="412">
        <f>'Templ-Mats'!G137</f>
        <v>51</v>
      </c>
      <c r="I235" s="412" t="str">
        <f>IF('Templ-Cons'!L162="","",'Templ-Cons'!L162)</f>
        <v/>
      </c>
      <c r="J235" s="412" t="str">
        <f>IF('Templ-Cons'!F162="","",'Templ-Cons'!F162)</f>
        <v/>
      </c>
      <c r="K235" s="412" t="str">
        <f>IF('Templ-Cons'!H162="","",'Templ-Cons'!H162)</f>
        <v/>
      </c>
      <c r="L235" s="412" t="str">
        <f>IF('Templ-Cons'!G162="","",'Templ-Cons'!G162)</f>
        <v/>
      </c>
      <c r="M235" s="412" t="str">
        <f>IF('Templ-Cons'!H162="","",'Templ-Cons'!H162)</f>
        <v/>
      </c>
      <c r="N235" s="412" t="str">
        <f>IF('Templ-Cons'!I162="","",'Templ-Cons'!I162)</f>
        <v/>
      </c>
      <c r="O235" s="412"/>
      <c r="P235" s="412"/>
      <c r="Q235" s="412"/>
      <c r="R235" s="412"/>
      <c r="S235" s="412"/>
      <c r="T235" s="412"/>
      <c r="U235" s="412"/>
      <c r="V235" s="412"/>
      <c r="W235" s="412"/>
      <c r="X235" s="412"/>
      <c r="Y235" s="412"/>
      <c r="Z235" s="412"/>
      <c r="AA235" s="412"/>
      <c r="AB235" s="412"/>
      <c r="AC235" s="412"/>
      <c r="AD235" s="412"/>
    </row>
    <row r="236" spans="1:30">
      <c r="A236" s="412"/>
      <c r="B236" s="412"/>
      <c r="C236" s="412" t="str">
        <f>'Templ-Mats'!B138</f>
        <v>AF86</v>
      </c>
      <c r="D236" s="412" t="str">
        <f>'Templ-Mats'!C138</f>
        <v>Concrete: Perlite - vermiculite - and polystyrene beads - 320 kg/m3 - 51mm</v>
      </c>
      <c r="E236" s="412"/>
      <c r="F236" s="418">
        <f t="shared" si="11"/>
        <v>0.42499999999999999</v>
      </c>
      <c r="G236" s="412">
        <f>'Templ-Mats'!J138</f>
        <v>0.12</v>
      </c>
      <c r="H236" s="412">
        <f>'Templ-Mats'!G138</f>
        <v>51</v>
      </c>
      <c r="I236" s="412" t="str">
        <f>IF('Templ-Cons'!L163="","",'Templ-Cons'!L163)</f>
        <v/>
      </c>
      <c r="J236" s="412" t="str">
        <f>IF('Templ-Cons'!F163="","",'Templ-Cons'!F163)</f>
        <v/>
      </c>
      <c r="K236" s="412" t="str">
        <f>IF('Templ-Cons'!H163="","",'Templ-Cons'!H163)</f>
        <v/>
      </c>
      <c r="L236" s="412" t="str">
        <f>IF('Templ-Cons'!G163="","",'Templ-Cons'!G163)</f>
        <v/>
      </c>
      <c r="M236" s="412" t="str">
        <f>IF('Templ-Cons'!H163="","",'Templ-Cons'!H163)</f>
        <v/>
      </c>
      <c r="N236" s="412" t="str">
        <f>IF('Templ-Cons'!I163="","",'Templ-Cons'!I163)</f>
        <v/>
      </c>
      <c r="O236" s="412"/>
      <c r="P236" s="412"/>
      <c r="Q236" s="412"/>
      <c r="R236" s="412"/>
      <c r="S236" s="412"/>
      <c r="T236" s="412"/>
      <c r="U236" s="412"/>
      <c r="V236" s="412"/>
      <c r="W236" s="412"/>
      <c r="X236" s="412"/>
      <c r="Y236" s="412"/>
      <c r="Z236" s="412"/>
      <c r="AA236" s="412"/>
      <c r="AB236" s="412"/>
      <c r="AC236" s="412"/>
      <c r="AD236" s="412"/>
    </row>
    <row r="237" spans="1:30">
      <c r="A237" s="412"/>
      <c r="B237" s="412"/>
      <c r="C237" s="412" t="str">
        <f>'Templ-Mats'!B139</f>
        <v>AF87</v>
      </c>
      <c r="D237" s="412" t="str">
        <f>'Templ-Mats'!C139</f>
        <v>Concrete: Foam concretes - 1920 kg/m3 - 51mm</v>
      </c>
      <c r="E237" s="412"/>
      <c r="F237" s="418">
        <f t="shared" si="11"/>
        <v>6.7999999999999991E-2</v>
      </c>
      <c r="G237" s="412">
        <f>'Templ-Mats'!J139</f>
        <v>0.75</v>
      </c>
      <c r="H237" s="412">
        <f>'Templ-Mats'!G139</f>
        <v>51</v>
      </c>
      <c r="I237" s="412" t="str">
        <f>IF('Templ-Cons'!L164="","",'Templ-Cons'!L164)</f>
        <v/>
      </c>
      <c r="J237" s="412" t="str">
        <f>IF('Templ-Cons'!F164="","",'Templ-Cons'!F164)</f>
        <v/>
      </c>
      <c r="K237" s="412" t="str">
        <f>IF('Templ-Cons'!H164="","",'Templ-Cons'!H164)</f>
        <v/>
      </c>
      <c r="L237" s="412" t="str">
        <f>IF('Templ-Cons'!G164="","",'Templ-Cons'!G164)</f>
        <v/>
      </c>
      <c r="M237" s="412" t="str">
        <f>IF('Templ-Cons'!H164="","",'Templ-Cons'!H164)</f>
        <v/>
      </c>
      <c r="N237" s="412" t="str">
        <f>IF('Templ-Cons'!I164="","",'Templ-Cons'!I164)</f>
        <v/>
      </c>
      <c r="O237" s="412"/>
      <c r="P237" s="412"/>
      <c r="Q237" s="412"/>
      <c r="R237" s="412"/>
      <c r="S237" s="412"/>
      <c r="T237" s="412"/>
      <c r="U237" s="412"/>
      <c r="V237" s="412"/>
      <c r="W237" s="412"/>
      <c r="X237" s="412"/>
      <c r="Y237" s="412"/>
      <c r="Z237" s="412"/>
      <c r="AA237" s="412"/>
      <c r="AB237" s="412"/>
      <c r="AC237" s="412"/>
      <c r="AD237" s="412"/>
    </row>
    <row r="238" spans="1:30">
      <c r="A238" s="412"/>
      <c r="B238" s="412"/>
      <c r="C238" s="412" t="str">
        <f>'Templ-Mats'!B140</f>
        <v>AF88</v>
      </c>
      <c r="D238" s="412" t="str">
        <f>'Templ-Mats'!C140</f>
        <v>Concrete: Foam concretes - 1600 kg/m3 - 51mm</v>
      </c>
      <c r="E238" s="412"/>
      <c r="F238" s="418">
        <f t="shared" si="11"/>
        <v>8.4999999999999992E-2</v>
      </c>
      <c r="G238" s="412">
        <f>'Templ-Mats'!J140</f>
        <v>0.6</v>
      </c>
      <c r="H238" s="412">
        <f>'Templ-Mats'!G140</f>
        <v>51</v>
      </c>
      <c r="I238" s="412" t="str">
        <f>IF('Templ-Cons'!L165="","",'Templ-Cons'!L165)</f>
        <v/>
      </c>
      <c r="J238" s="412" t="str">
        <f>IF('Templ-Cons'!F165="","",'Templ-Cons'!F165)</f>
        <v/>
      </c>
      <c r="K238" s="412" t="str">
        <f>IF('Templ-Cons'!H165="","",'Templ-Cons'!H165)</f>
        <v/>
      </c>
      <c r="L238" s="412" t="str">
        <f>IF('Templ-Cons'!G165="","",'Templ-Cons'!G165)</f>
        <v/>
      </c>
      <c r="M238" s="412" t="str">
        <f>IF('Templ-Cons'!H165="","",'Templ-Cons'!H165)</f>
        <v/>
      </c>
      <c r="N238" s="412" t="str">
        <f>IF('Templ-Cons'!I165="","",'Templ-Cons'!I165)</f>
        <v/>
      </c>
      <c r="O238" s="412"/>
      <c r="P238" s="412"/>
      <c r="Q238" s="412"/>
      <c r="R238" s="412"/>
      <c r="S238" s="412"/>
      <c r="T238" s="412"/>
      <c r="U238" s="412"/>
      <c r="V238" s="412"/>
      <c r="W238" s="412"/>
      <c r="X238" s="412"/>
      <c r="Y238" s="412"/>
      <c r="Z238" s="412"/>
      <c r="AA238" s="412"/>
      <c r="AB238" s="412"/>
      <c r="AC238" s="412"/>
      <c r="AD238" s="412"/>
    </row>
    <row r="239" spans="1:30">
      <c r="A239" s="412"/>
      <c r="B239" s="412"/>
      <c r="C239" s="412" t="str">
        <f>'Templ-Mats'!B141</f>
        <v>AF89</v>
      </c>
      <c r="D239" s="412" t="str">
        <f>'Templ-Mats'!C141</f>
        <v>Concrete: Foam concretes - 1280 kg/m3 - 51mm</v>
      </c>
      <c r="E239" s="412"/>
      <c r="F239" s="418">
        <f t="shared" si="11"/>
        <v>0.11590909090909091</v>
      </c>
      <c r="G239" s="412">
        <f>'Templ-Mats'!J141</f>
        <v>0.44</v>
      </c>
      <c r="H239" s="412">
        <f>'Templ-Mats'!G141</f>
        <v>51</v>
      </c>
      <c r="I239" s="412" t="str">
        <f>IF('Templ-Cons'!L166="","",'Templ-Cons'!L166)</f>
        <v/>
      </c>
      <c r="J239" s="412" t="str">
        <f>IF('Templ-Cons'!F166="","",'Templ-Cons'!F166)</f>
        <v/>
      </c>
      <c r="K239" s="412" t="str">
        <f>IF('Templ-Cons'!H166="","",'Templ-Cons'!H166)</f>
        <v/>
      </c>
      <c r="L239" s="412" t="str">
        <f>IF('Templ-Cons'!G166="","",'Templ-Cons'!G166)</f>
        <v/>
      </c>
      <c r="M239" s="412" t="str">
        <f>IF('Templ-Cons'!H166="","",'Templ-Cons'!H166)</f>
        <v/>
      </c>
      <c r="N239" s="412" t="str">
        <f>IF('Templ-Cons'!I166="","",'Templ-Cons'!I166)</f>
        <v/>
      </c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412"/>
      <c r="AA239" s="412"/>
      <c r="AB239" s="412"/>
      <c r="AC239" s="412"/>
      <c r="AD239" s="412"/>
    </row>
    <row r="240" spans="1:30">
      <c r="A240" s="412"/>
      <c r="B240" s="412"/>
      <c r="C240" s="412" t="str">
        <f>'Templ-Mats'!B142</f>
        <v>AF90</v>
      </c>
      <c r="D240" s="412" t="str">
        <f>'Templ-Mats'!C142</f>
        <v>Concrete: Foam concretes - 1120 kg/m3 - 51mm</v>
      </c>
      <c r="E240" s="412"/>
      <c r="F240" s="418">
        <f t="shared" si="11"/>
        <v>0.14166666666666666</v>
      </c>
      <c r="G240" s="412">
        <f>'Templ-Mats'!J142</f>
        <v>0.36</v>
      </c>
      <c r="H240" s="412">
        <f>'Templ-Mats'!G142</f>
        <v>51</v>
      </c>
      <c r="I240" s="412" t="str">
        <f>IF('Templ-Cons'!L167="","",'Templ-Cons'!L167)</f>
        <v/>
      </c>
      <c r="J240" s="412" t="str">
        <f>IF('Templ-Cons'!F167="","",'Templ-Cons'!F167)</f>
        <v/>
      </c>
      <c r="K240" s="412" t="str">
        <f>IF('Templ-Cons'!H167="","",'Templ-Cons'!H167)</f>
        <v/>
      </c>
      <c r="L240" s="412" t="str">
        <f>IF('Templ-Cons'!G167="","",'Templ-Cons'!G167)</f>
        <v/>
      </c>
      <c r="M240" s="412" t="str">
        <f>IF('Templ-Cons'!H167="","",'Templ-Cons'!H167)</f>
        <v/>
      </c>
      <c r="N240" s="412" t="str">
        <f>IF('Templ-Cons'!I167="","",'Templ-Cons'!I167)</f>
        <v/>
      </c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412"/>
      <c r="AB240" s="412"/>
      <c r="AC240" s="412"/>
      <c r="AD240" s="412"/>
    </row>
    <row r="241" spans="1:30">
      <c r="A241" s="412"/>
      <c r="B241" s="412"/>
      <c r="C241" s="412" t="str">
        <f>'Templ-Mats'!B143</f>
        <v>AF91</v>
      </c>
      <c r="D241" s="412" t="str">
        <f>'Templ-Mats'!C143</f>
        <v>Concrete: Foam concretes and cellular concretes - 640 kg/m3 - 51mm</v>
      </c>
      <c r="E241" s="412"/>
      <c r="F241" s="418">
        <f t="shared" si="11"/>
        <v>0.25499999999999995</v>
      </c>
      <c r="G241" s="412">
        <f>'Templ-Mats'!J143</f>
        <v>0.2</v>
      </c>
      <c r="H241" s="412">
        <f>'Templ-Mats'!G143</f>
        <v>51</v>
      </c>
      <c r="I241" s="412" t="str">
        <f>IF('Templ-Cons'!L168="","",'Templ-Cons'!L168)</f>
        <v/>
      </c>
      <c r="J241" s="412" t="str">
        <f>IF('Templ-Cons'!F168="","",'Templ-Cons'!F168)</f>
        <v/>
      </c>
      <c r="K241" s="412" t="str">
        <f>IF('Templ-Cons'!H168="","",'Templ-Cons'!H168)</f>
        <v/>
      </c>
      <c r="L241" s="412" t="str">
        <f>IF('Templ-Cons'!G168="","",'Templ-Cons'!G168)</f>
        <v/>
      </c>
      <c r="M241" s="412" t="str">
        <f>IF('Templ-Cons'!H168="","",'Templ-Cons'!H168)</f>
        <v/>
      </c>
      <c r="N241" s="412" t="str">
        <f>IF('Templ-Cons'!I168="","",'Templ-Cons'!I168)</f>
        <v/>
      </c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412"/>
      <c r="AA241" s="412"/>
      <c r="AB241" s="412"/>
      <c r="AC241" s="412"/>
      <c r="AD241" s="412"/>
    </row>
    <row r="242" spans="1:30">
      <c r="A242" s="412"/>
      <c r="B242" s="412"/>
      <c r="C242" s="412" t="str">
        <f>'Templ-Mats'!B144</f>
        <v>AF92</v>
      </c>
      <c r="D242" s="412" t="str">
        <f>'Templ-Mats'!C144</f>
        <v>Concrete: Foam concretes and cellular concretes - 320 kg/m3 - 51mm</v>
      </c>
      <c r="E242" s="412"/>
      <c r="F242" s="418">
        <f t="shared" si="11"/>
        <v>0.42499999999999999</v>
      </c>
      <c r="G242" s="412">
        <f>'Templ-Mats'!J144</f>
        <v>0.12</v>
      </c>
      <c r="H242" s="412">
        <f>'Templ-Mats'!G144</f>
        <v>51</v>
      </c>
      <c r="I242" s="412" t="str">
        <f>IF('Templ-Cons'!L169="","",'Templ-Cons'!L169)</f>
        <v/>
      </c>
      <c r="J242" s="412" t="str">
        <f>IF('Templ-Cons'!F169="","",'Templ-Cons'!F169)</f>
        <v/>
      </c>
      <c r="K242" s="412" t="str">
        <f>IF('Templ-Cons'!H169="","",'Templ-Cons'!H169)</f>
        <v/>
      </c>
      <c r="L242" s="412" t="str">
        <f>IF('Templ-Cons'!G169="","",'Templ-Cons'!G169)</f>
        <v/>
      </c>
      <c r="M242" s="412" t="str">
        <f>IF('Templ-Cons'!H169="","",'Templ-Cons'!H169)</f>
        <v/>
      </c>
      <c r="N242" s="412" t="str">
        <f>IF('Templ-Cons'!I169="","",'Templ-Cons'!I169)</f>
        <v/>
      </c>
      <c r="O242" s="412"/>
      <c r="P242" s="412"/>
      <c r="Q242" s="412"/>
      <c r="R242" s="412"/>
      <c r="S242" s="412"/>
      <c r="T242" s="412"/>
      <c r="U242" s="412"/>
      <c r="V242" s="412"/>
      <c r="W242" s="412"/>
      <c r="X242" s="412"/>
      <c r="Y242" s="412"/>
      <c r="Z242" s="412"/>
      <c r="AA242" s="412"/>
      <c r="AB242" s="412"/>
      <c r="AC242" s="412"/>
      <c r="AD242" s="412"/>
    </row>
    <row r="243" spans="1:30">
      <c r="A243" s="412"/>
      <c r="B243" s="412"/>
      <c r="C243" s="412" t="str">
        <f>'Templ-Mats'!B145</f>
        <v>AF93</v>
      </c>
      <c r="D243" s="412" t="str">
        <f>'Templ-Mats'!C145</f>
        <v>Concrete: Sand and gravel or stone aggregate concretes - 2400 kg/m3 - 102mm</v>
      </c>
      <c r="E243" s="412"/>
      <c r="F243" s="418">
        <f t="shared" si="11"/>
        <v>4.7441860465116281E-2</v>
      </c>
      <c r="G243" s="412">
        <f>'Templ-Mats'!J145</f>
        <v>2.15</v>
      </c>
      <c r="H243" s="412">
        <f>'Templ-Mats'!G145</f>
        <v>102</v>
      </c>
      <c r="I243" s="412" t="str">
        <f>IF('Templ-Cons'!L170="","",'Templ-Cons'!L170)</f>
        <v/>
      </c>
      <c r="J243" s="412" t="str">
        <f>IF('Templ-Cons'!F170="","",'Templ-Cons'!F170)</f>
        <v/>
      </c>
      <c r="K243" s="412" t="str">
        <f>IF('Templ-Cons'!H170="","",'Templ-Cons'!H170)</f>
        <v/>
      </c>
      <c r="L243" s="412" t="str">
        <f>IF('Templ-Cons'!G170="","",'Templ-Cons'!G170)</f>
        <v/>
      </c>
      <c r="M243" s="412" t="str">
        <f>IF('Templ-Cons'!H170="","",'Templ-Cons'!H170)</f>
        <v/>
      </c>
      <c r="N243" s="412" t="str">
        <f>IF('Templ-Cons'!I170="","",'Templ-Cons'!I170)</f>
        <v/>
      </c>
      <c r="O243" s="412"/>
      <c r="P243" s="412"/>
      <c r="Q243" s="412"/>
      <c r="R243" s="412"/>
      <c r="S243" s="412"/>
      <c r="T243" s="412"/>
      <c r="U243" s="412"/>
      <c r="V243" s="412"/>
      <c r="W243" s="412"/>
      <c r="X243" s="412"/>
      <c r="Y243" s="412"/>
      <c r="Z243" s="412"/>
      <c r="AA243" s="412"/>
      <c r="AB243" s="412"/>
      <c r="AC243" s="412"/>
      <c r="AD243" s="412"/>
    </row>
    <row r="244" spans="1:30">
      <c r="A244" s="412"/>
      <c r="B244" s="412"/>
      <c r="C244" s="412" t="str">
        <f>'Templ-Mats'!B146</f>
        <v>AF94</v>
      </c>
      <c r="D244" s="412" t="str">
        <f>'Templ-Mats'!C146</f>
        <v>Concrete: Sand and gravel or stone aggregate concretes - 2240 kg/m3 - 102mm</v>
      </c>
      <c r="E244" s="412"/>
      <c r="F244" s="418">
        <f t="shared" si="11"/>
        <v>5.2307692307692305E-2</v>
      </c>
      <c r="G244" s="412">
        <f>'Templ-Mats'!J146</f>
        <v>1.95</v>
      </c>
      <c r="H244" s="412">
        <f>'Templ-Mats'!G146</f>
        <v>102</v>
      </c>
      <c r="I244" s="412" t="str">
        <f>IF('Templ-Cons'!L171="","",'Templ-Cons'!L171)</f>
        <v/>
      </c>
      <c r="J244" s="412" t="str">
        <f>IF('Templ-Cons'!F171="","",'Templ-Cons'!F171)</f>
        <v/>
      </c>
      <c r="K244" s="412" t="str">
        <f>IF('Templ-Cons'!H171="","",'Templ-Cons'!H171)</f>
        <v/>
      </c>
      <c r="L244" s="412" t="str">
        <f>IF('Templ-Cons'!G171="","",'Templ-Cons'!G171)</f>
        <v/>
      </c>
      <c r="M244" s="412" t="str">
        <f>IF('Templ-Cons'!H171="","",'Templ-Cons'!H171)</f>
        <v/>
      </c>
      <c r="N244" s="412" t="str">
        <f>IF('Templ-Cons'!I171="","",'Templ-Cons'!I171)</f>
        <v/>
      </c>
      <c r="O244" s="412"/>
      <c r="P244" s="412"/>
      <c r="Q244" s="412"/>
      <c r="R244" s="412"/>
      <c r="S244" s="412"/>
      <c r="T244" s="412"/>
      <c r="U244" s="412"/>
      <c r="V244" s="412"/>
      <c r="W244" s="412"/>
      <c r="X244" s="412"/>
      <c r="Y244" s="412"/>
      <c r="Z244" s="412"/>
      <c r="AA244" s="412"/>
      <c r="AB244" s="412"/>
      <c r="AC244" s="412"/>
      <c r="AD244" s="412"/>
    </row>
    <row r="245" spans="1:30">
      <c r="A245" s="412"/>
      <c r="B245" s="412"/>
      <c r="C245" s="412" t="str">
        <f>'Templ-Mats'!B147</f>
        <v>AF95</v>
      </c>
      <c r="D245" s="412" t="str">
        <f>'Templ-Mats'!C147</f>
        <v>Concrete: Sand and gravel or stone aggregate concretes - 2080 kg/m3 - 102mm</v>
      </c>
      <c r="E245" s="412"/>
      <c r="F245" s="418">
        <f t="shared" si="11"/>
        <v>7.0344827586206887E-2</v>
      </c>
      <c r="G245" s="412">
        <f>'Templ-Mats'!J147</f>
        <v>1.45</v>
      </c>
      <c r="H245" s="412">
        <f>'Templ-Mats'!G147</f>
        <v>102</v>
      </c>
      <c r="I245" s="412" t="str">
        <f>IF('Templ-Cons'!L172="","",'Templ-Cons'!L172)</f>
        <v/>
      </c>
      <c r="J245" s="412" t="str">
        <f>IF('Templ-Cons'!F172="","",'Templ-Cons'!F172)</f>
        <v/>
      </c>
      <c r="K245" s="412" t="str">
        <f>IF('Templ-Cons'!H172="","",'Templ-Cons'!H172)</f>
        <v/>
      </c>
      <c r="L245" s="412" t="str">
        <f>IF('Templ-Cons'!G172="","",'Templ-Cons'!G172)</f>
        <v/>
      </c>
      <c r="M245" s="412" t="str">
        <f>IF('Templ-Cons'!H172="","",'Templ-Cons'!H172)</f>
        <v/>
      </c>
      <c r="N245" s="412" t="str">
        <f>IF('Templ-Cons'!I172="","",'Templ-Cons'!I172)</f>
        <v/>
      </c>
      <c r="O245" s="412"/>
      <c r="P245" s="412"/>
      <c r="Q245" s="412"/>
      <c r="R245" s="412"/>
      <c r="S245" s="412"/>
      <c r="T245" s="412"/>
      <c r="U245" s="412"/>
      <c r="V245" s="412"/>
      <c r="W245" s="412"/>
      <c r="X245" s="412"/>
      <c r="Y245" s="412"/>
      <c r="Z245" s="412"/>
      <c r="AA245" s="412"/>
      <c r="AB245" s="412"/>
      <c r="AC245" s="412"/>
      <c r="AD245" s="412"/>
    </row>
    <row r="246" spans="1:30">
      <c r="A246" s="412"/>
      <c r="B246" s="412"/>
      <c r="C246" s="412" t="str">
        <f>'Templ-Mats'!B148</f>
        <v>AF96</v>
      </c>
      <c r="D246" s="412" t="str">
        <f>'Templ-Mats'!C148</f>
        <v>Concrete: Limestone concretes - 2240 kg/m3 - 102mm</v>
      </c>
      <c r="E246" s="412"/>
      <c r="F246" s="418">
        <f t="shared" si="11"/>
        <v>6.3749999999999987E-2</v>
      </c>
      <c r="G246" s="412">
        <f>'Templ-Mats'!J148</f>
        <v>1.6</v>
      </c>
      <c r="H246" s="412">
        <f>'Templ-Mats'!G148</f>
        <v>102</v>
      </c>
      <c r="I246" s="412" t="str">
        <f>IF('Templ-Cons'!L173="","",'Templ-Cons'!L173)</f>
        <v/>
      </c>
      <c r="J246" s="412" t="str">
        <f>IF('Templ-Cons'!F173="","",'Templ-Cons'!F173)</f>
        <v/>
      </c>
      <c r="K246" s="412" t="str">
        <f>IF('Templ-Cons'!H173="","",'Templ-Cons'!H173)</f>
        <v/>
      </c>
      <c r="L246" s="412" t="str">
        <f>IF('Templ-Cons'!G173="","",'Templ-Cons'!G173)</f>
        <v/>
      </c>
      <c r="M246" s="412" t="str">
        <f>IF('Templ-Cons'!H173="","",'Templ-Cons'!H173)</f>
        <v/>
      </c>
      <c r="N246" s="412" t="str">
        <f>IF('Templ-Cons'!I173="","",'Templ-Cons'!I173)</f>
        <v/>
      </c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412"/>
      <c r="Z246" s="412"/>
      <c r="AA246" s="412"/>
      <c r="AB246" s="412"/>
      <c r="AC246" s="412"/>
      <c r="AD246" s="412"/>
    </row>
    <row r="247" spans="1:30">
      <c r="A247" s="412"/>
      <c r="B247" s="412"/>
      <c r="C247" s="412" t="str">
        <f>'Templ-Mats'!B149</f>
        <v>AF97</v>
      </c>
      <c r="D247" s="412" t="str">
        <f>'Templ-Mats'!C149</f>
        <v>Concrete: Limestone concretes - 1920 kg/m3 - 102mm</v>
      </c>
      <c r="E247" s="412"/>
      <c r="F247" s="418">
        <f t="shared" si="11"/>
        <v>8.9473684210526316E-2</v>
      </c>
      <c r="G247" s="412">
        <f>'Templ-Mats'!J149</f>
        <v>1.1399999999999999</v>
      </c>
      <c r="H247" s="412">
        <f>'Templ-Mats'!G149</f>
        <v>102</v>
      </c>
      <c r="I247" s="412" t="str">
        <f>IF('Templ-Cons'!L174="","",'Templ-Cons'!L174)</f>
        <v/>
      </c>
      <c r="J247" s="412" t="str">
        <f>IF('Templ-Cons'!F174="","",'Templ-Cons'!F174)</f>
        <v/>
      </c>
      <c r="K247" s="412" t="str">
        <f>IF('Templ-Cons'!H174="","",'Templ-Cons'!H174)</f>
        <v/>
      </c>
      <c r="L247" s="412" t="str">
        <f>IF('Templ-Cons'!G174="","",'Templ-Cons'!G174)</f>
        <v/>
      </c>
      <c r="M247" s="412" t="str">
        <f>IF('Templ-Cons'!H174="","",'Templ-Cons'!H174)</f>
        <v/>
      </c>
      <c r="N247" s="412" t="str">
        <f>IF('Templ-Cons'!I174="","",'Templ-Cons'!I174)</f>
        <v/>
      </c>
      <c r="O247" s="412"/>
      <c r="P247" s="412"/>
      <c r="Q247" s="412"/>
      <c r="R247" s="412"/>
      <c r="S247" s="412"/>
      <c r="T247" s="412"/>
      <c r="U247" s="412"/>
      <c r="V247" s="412"/>
      <c r="W247" s="412"/>
      <c r="X247" s="412"/>
      <c r="Y247" s="412"/>
      <c r="Z247" s="412"/>
      <c r="AA247" s="412"/>
      <c r="AB247" s="412"/>
      <c r="AC247" s="412"/>
      <c r="AD247" s="412"/>
    </row>
    <row r="248" spans="1:30">
      <c r="A248" s="412"/>
      <c r="B248" s="412"/>
      <c r="C248" s="412" t="str">
        <f>'Templ-Mats'!B150</f>
        <v>AF98</v>
      </c>
      <c r="D248" s="412" t="str">
        <f>'Templ-Mats'!C150</f>
        <v>Concrete: Limestone concretes - 1600 kg/m3 - 102mm</v>
      </c>
      <c r="E248" s="412"/>
      <c r="F248" s="418">
        <f t="shared" si="11"/>
        <v>0.12911392405063291</v>
      </c>
      <c r="G248" s="412">
        <f>'Templ-Mats'!J150</f>
        <v>0.79</v>
      </c>
      <c r="H248" s="412">
        <f>'Templ-Mats'!G150</f>
        <v>102</v>
      </c>
      <c r="I248" s="412" t="str">
        <f>IF('Templ-Cons'!L175="","",'Templ-Cons'!L175)</f>
        <v/>
      </c>
      <c r="J248" s="412" t="str">
        <f>IF('Templ-Cons'!F175="","",'Templ-Cons'!F175)</f>
        <v/>
      </c>
      <c r="K248" s="412" t="str">
        <f>IF('Templ-Cons'!H175="","",'Templ-Cons'!H175)</f>
        <v/>
      </c>
      <c r="L248" s="412" t="str">
        <f>IF('Templ-Cons'!G175="","",'Templ-Cons'!G175)</f>
        <v/>
      </c>
      <c r="M248" s="412" t="str">
        <f>IF('Templ-Cons'!H175="","",'Templ-Cons'!H175)</f>
        <v/>
      </c>
      <c r="N248" s="412" t="str">
        <f>IF('Templ-Cons'!I175="","",'Templ-Cons'!I175)</f>
        <v/>
      </c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412"/>
      <c r="Z248" s="412"/>
      <c r="AA248" s="412"/>
      <c r="AB248" s="412"/>
      <c r="AC248" s="412"/>
      <c r="AD248" s="412"/>
    </row>
    <row r="249" spans="1:30">
      <c r="A249" s="412"/>
      <c r="B249" s="412"/>
      <c r="C249" s="412" t="str">
        <f>'Templ-Mats'!B151</f>
        <v>AF99</v>
      </c>
      <c r="D249" s="412" t="str">
        <f>'Templ-Mats'!C151</f>
        <v>Concrete: Gypsum-fiber concrete (87.5% gypsum - 12.5% wood chips) - 102mm</v>
      </c>
      <c r="E249" s="412"/>
      <c r="F249" s="418">
        <f t="shared" si="11"/>
        <v>0.42499999999999999</v>
      </c>
      <c r="G249" s="412">
        <f>'Templ-Mats'!J151</f>
        <v>0.24</v>
      </c>
      <c r="H249" s="412">
        <f>'Templ-Mats'!G151</f>
        <v>102</v>
      </c>
      <c r="I249" s="412" t="str">
        <f>IF('Templ-Cons'!L176="","",'Templ-Cons'!L176)</f>
        <v/>
      </c>
      <c r="J249" s="412" t="str">
        <f>IF('Templ-Cons'!F176="","",'Templ-Cons'!F176)</f>
        <v/>
      </c>
      <c r="K249" s="412" t="str">
        <f>IF('Templ-Cons'!H176="","",'Templ-Cons'!H176)</f>
        <v/>
      </c>
      <c r="L249" s="412" t="str">
        <f>IF('Templ-Cons'!G176="","",'Templ-Cons'!G176)</f>
        <v/>
      </c>
      <c r="M249" s="412" t="str">
        <f>IF('Templ-Cons'!H176="","",'Templ-Cons'!H176)</f>
        <v/>
      </c>
      <c r="N249" s="412" t="str">
        <f>IF('Templ-Cons'!I176="","",'Templ-Cons'!I176)</f>
        <v/>
      </c>
      <c r="O249" s="412"/>
      <c r="P249" s="412"/>
      <c r="Q249" s="412"/>
      <c r="R249" s="412"/>
      <c r="S249" s="412"/>
      <c r="T249" s="412"/>
      <c r="U249" s="412"/>
      <c r="V249" s="412"/>
      <c r="W249" s="412"/>
      <c r="X249" s="412"/>
      <c r="Y249" s="412"/>
      <c r="Z249" s="412"/>
      <c r="AA249" s="412"/>
      <c r="AB249" s="412"/>
      <c r="AC249" s="412"/>
      <c r="AD249" s="412"/>
    </row>
    <row r="250" spans="1:30">
      <c r="A250" s="412"/>
      <c r="B250" s="412"/>
      <c r="C250" s="412" t="str">
        <f>'Templ-Mats'!B152</f>
        <v>AF100</v>
      </c>
      <c r="D250" s="412" t="str">
        <f>'Templ-Mats'!C152</f>
        <v>Concrete: Cement/lime - mortar - and stucco - 1920 kg/m3 - 102mm</v>
      </c>
      <c r="E250" s="412"/>
      <c r="F250" s="418">
        <f t="shared" si="11"/>
        <v>7.2857142857142856E-2</v>
      </c>
      <c r="G250" s="412">
        <f>'Templ-Mats'!J152</f>
        <v>1.4</v>
      </c>
      <c r="H250" s="412">
        <f>'Templ-Mats'!G152</f>
        <v>102</v>
      </c>
      <c r="I250" s="412" t="str">
        <f>IF('Templ-Cons'!L177="","",'Templ-Cons'!L177)</f>
        <v/>
      </c>
      <c r="J250" s="412" t="str">
        <f>IF('Templ-Cons'!F177="","",'Templ-Cons'!F177)</f>
        <v/>
      </c>
      <c r="K250" s="412" t="str">
        <f>IF('Templ-Cons'!H177="","",'Templ-Cons'!H177)</f>
        <v/>
      </c>
      <c r="L250" s="412" t="str">
        <f>IF('Templ-Cons'!G177="","",'Templ-Cons'!G177)</f>
        <v/>
      </c>
      <c r="M250" s="412" t="str">
        <f>IF('Templ-Cons'!H177="","",'Templ-Cons'!H177)</f>
        <v/>
      </c>
      <c r="N250" s="412" t="str">
        <f>IF('Templ-Cons'!I177="","",'Templ-Cons'!I177)</f>
        <v/>
      </c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412"/>
      <c r="Z250" s="412"/>
      <c r="AA250" s="412"/>
      <c r="AB250" s="412"/>
      <c r="AC250" s="412"/>
      <c r="AD250" s="412"/>
    </row>
    <row r="251" spans="1:30">
      <c r="A251" s="412"/>
      <c r="B251" s="412"/>
      <c r="C251" s="412" t="str">
        <f>'Templ-Mats'!B153</f>
        <v>AF101</v>
      </c>
      <c r="D251" s="412" t="str">
        <f>'Templ-Mats'!C153</f>
        <v>Concrete: Cement/lime - mortar - and stucco - 1600 kg/m3 - 102mm</v>
      </c>
      <c r="E251" s="412"/>
      <c r="F251" s="418">
        <f t="shared" si="11"/>
        <v>0.10515463917525773</v>
      </c>
      <c r="G251" s="412">
        <f>'Templ-Mats'!J153</f>
        <v>0.97</v>
      </c>
      <c r="H251" s="412">
        <f>'Templ-Mats'!G153</f>
        <v>102</v>
      </c>
      <c r="I251" s="412" t="str">
        <f>IF('Templ-Cons'!L178="","",'Templ-Cons'!L178)</f>
        <v/>
      </c>
      <c r="J251" s="412" t="str">
        <f>IF('Templ-Cons'!F178="","",'Templ-Cons'!F178)</f>
        <v/>
      </c>
      <c r="K251" s="412" t="str">
        <f>IF('Templ-Cons'!H178="","",'Templ-Cons'!H178)</f>
        <v/>
      </c>
      <c r="L251" s="412" t="str">
        <f>IF('Templ-Cons'!G178="","",'Templ-Cons'!G178)</f>
        <v/>
      </c>
      <c r="M251" s="412" t="str">
        <f>IF('Templ-Cons'!H178="","",'Templ-Cons'!H178)</f>
        <v/>
      </c>
      <c r="N251" s="412" t="str">
        <f>IF('Templ-Cons'!I178="","",'Templ-Cons'!I178)</f>
        <v/>
      </c>
      <c r="O251" s="412"/>
      <c r="P251" s="412"/>
      <c r="Q251" s="412"/>
      <c r="R251" s="412"/>
      <c r="S251" s="412"/>
      <c r="T251" s="412"/>
      <c r="U251" s="412"/>
      <c r="V251" s="412"/>
      <c r="W251" s="412"/>
      <c r="X251" s="412"/>
      <c r="Y251" s="412"/>
      <c r="Z251" s="412"/>
      <c r="AA251" s="412"/>
      <c r="AB251" s="412"/>
      <c r="AC251" s="412"/>
      <c r="AD251" s="412"/>
    </row>
    <row r="252" spans="1:30">
      <c r="A252" s="412"/>
      <c r="B252" s="412"/>
      <c r="C252" s="412" t="str">
        <f>'Templ-Mats'!B154</f>
        <v>AF102</v>
      </c>
      <c r="D252" s="412" t="str">
        <f>'Templ-Mats'!C154</f>
        <v>Concrete: Cement/lime - mortar - and stucco - 1280 kg/m3 - 102mm</v>
      </c>
      <c r="E252" s="412"/>
      <c r="F252" s="418">
        <f t="shared" si="11"/>
        <v>0.15692307692307692</v>
      </c>
      <c r="G252" s="412">
        <f>'Templ-Mats'!J154</f>
        <v>0.65</v>
      </c>
      <c r="H252" s="412">
        <f>'Templ-Mats'!G154</f>
        <v>102</v>
      </c>
      <c r="I252" s="412" t="str">
        <f>IF('Templ-Cons'!L179="","",'Templ-Cons'!L179)</f>
        <v/>
      </c>
      <c r="J252" s="412" t="str">
        <f>IF('Templ-Cons'!F179="","",'Templ-Cons'!F179)</f>
        <v/>
      </c>
      <c r="K252" s="412" t="str">
        <f>IF('Templ-Cons'!H179="","",'Templ-Cons'!H179)</f>
        <v/>
      </c>
      <c r="L252" s="412" t="str">
        <f>IF('Templ-Cons'!G179="","",'Templ-Cons'!G179)</f>
        <v/>
      </c>
      <c r="M252" s="412" t="str">
        <f>IF('Templ-Cons'!H179="","",'Templ-Cons'!H179)</f>
        <v/>
      </c>
      <c r="N252" s="412" t="str">
        <f>IF('Templ-Cons'!I179="","",'Templ-Cons'!I179)</f>
        <v/>
      </c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412"/>
      <c r="Z252" s="412"/>
      <c r="AA252" s="412"/>
      <c r="AB252" s="412"/>
      <c r="AC252" s="412"/>
      <c r="AD252" s="412"/>
    </row>
    <row r="253" spans="1:30">
      <c r="A253" s="412"/>
      <c r="B253" s="412"/>
      <c r="C253" s="412" t="str">
        <f>'Templ-Mats'!B155</f>
        <v>AF103</v>
      </c>
      <c r="D253" s="412" t="str">
        <f>'Templ-Mats'!C155</f>
        <v>Concrete: Expanded shale - clay - slate - expanded slags - cinders - pumice - 1920 kg/m3 - 102mm</v>
      </c>
      <c r="E253" s="412"/>
      <c r="F253" s="418">
        <f t="shared" si="11"/>
        <v>9.2727272727272714E-2</v>
      </c>
      <c r="G253" s="412">
        <f>'Templ-Mats'!J155</f>
        <v>1.1000000000000001</v>
      </c>
      <c r="H253" s="412">
        <f>'Templ-Mats'!G155</f>
        <v>102</v>
      </c>
      <c r="I253" s="412" t="str">
        <f>IF('Templ-Cons'!L180="","",'Templ-Cons'!L180)</f>
        <v/>
      </c>
      <c r="J253" s="412" t="str">
        <f>IF('Templ-Cons'!F180="","",'Templ-Cons'!F180)</f>
        <v/>
      </c>
      <c r="K253" s="412" t="str">
        <f>IF('Templ-Cons'!H180="","",'Templ-Cons'!H180)</f>
        <v/>
      </c>
      <c r="L253" s="412" t="str">
        <f>IF('Templ-Cons'!G180="","",'Templ-Cons'!G180)</f>
        <v/>
      </c>
      <c r="M253" s="412" t="str">
        <f>IF('Templ-Cons'!H180="","",'Templ-Cons'!H180)</f>
        <v/>
      </c>
      <c r="N253" s="412" t="str">
        <f>IF('Templ-Cons'!I180="","",'Templ-Cons'!I180)</f>
        <v/>
      </c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412"/>
      <c r="AA253" s="412"/>
      <c r="AB253" s="412"/>
      <c r="AC253" s="412"/>
      <c r="AD253" s="412"/>
    </row>
    <row r="254" spans="1:30">
      <c r="A254" s="412"/>
      <c r="B254" s="412"/>
      <c r="C254" s="412" t="str">
        <f>'Templ-Mats'!B156</f>
        <v>AF104</v>
      </c>
      <c r="D254" s="412" t="str">
        <f>'Templ-Mats'!C156</f>
        <v>Concrete: Expanded shale - clay - slate - expanded slags - cinders - pumice - 1600 kg/m3 - 102mm</v>
      </c>
      <c r="E254" s="412"/>
      <c r="F254" s="418">
        <f t="shared" si="11"/>
        <v>0.12993630573248408</v>
      </c>
      <c r="G254" s="412">
        <f>'Templ-Mats'!J156</f>
        <v>0.78500000000000003</v>
      </c>
      <c r="H254" s="412">
        <f>'Templ-Mats'!G156</f>
        <v>102</v>
      </c>
      <c r="I254" s="412" t="str">
        <f>IF('Templ-Cons'!L181="","",'Templ-Cons'!L181)</f>
        <v/>
      </c>
      <c r="J254" s="412" t="str">
        <f>IF('Templ-Cons'!F181="","",'Templ-Cons'!F181)</f>
        <v/>
      </c>
      <c r="K254" s="412" t="str">
        <f>IF('Templ-Cons'!H181="","",'Templ-Cons'!H181)</f>
        <v/>
      </c>
      <c r="L254" s="412" t="str">
        <f>IF('Templ-Cons'!G181="","",'Templ-Cons'!G181)</f>
        <v/>
      </c>
      <c r="M254" s="412" t="str">
        <f>IF('Templ-Cons'!H181="","",'Templ-Cons'!H181)</f>
        <v/>
      </c>
      <c r="N254" s="412" t="str">
        <f>IF('Templ-Cons'!I181="","",'Templ-Cons'!I181)</f>
        <v/>
      </c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412"/>
      <c r="AA254" s="412"/>
      <c r="AB254" s="412"/>
      <c r="AC254" s="412"/>
      <c r="AD254" s="412"/>
    </row>
    <row r="255" spans="1:30">
      <c r="A255" s="412"/>
      <c r="B255" s="412"/>
      <c r="C255" s="412" t="str">
        <f>'Templ-Mats'!B157</f>
        <v>AF105</v>
      </c>
      <c r="D255" s="412" t="str">
        <f>'Templ-Mats'!C157</f>
        <v>Concrete: Expanded shale - clay - slate - expanded slags - cinders - pumice - 1280 kg/m3 - 102mm</v>
      </c>
      <c r="E255" s="412"/>
      <c r="F255" s="418">
        <f t="shared" si="11"/>
        <v>0.19065420560747662</v>
      </c>
      <c r="G255" s="412">
        <f>'Templ-Mats'!J157</f>
        <v>0.53500000000000003</v>
      </c>
      <c r="H255" s="412">
        <f>'Templ-Mats'!G157</f>
        <v>102</v>
      </c>
      <c r="I255" s="412" t="str">
        <f>IF('Templ-Cons'!L182="","",'Templ-Cons'!L182)</f>
        <v/>
      </c>
      <c r="J255" s="412" t="str">
        <f>IF('Templ-Cons'!F182="","",'Templ-Cons'!F182)</f>
        <v/>
      </c>
      <c r="K255" s="412" t="str">
        <f>IF('Templ-Cons'!H182="","",'Templ-Cons'!H182)</f>
        <v/>
      </c>
      <c r="L255" s="412" t="str">
        <f>IF('Templ-Cons'!G182="","",'Templ-Cons'!G182)</f>
        <v/>
      </c>
      <c r="M255" s="412" t="str">
        <f>IF('Templ-Cons'!H182="","",'Templ-Cons'!H182)</f>
        <v/>
      </c>
      <c r="N255" s="412" t="str">
        <f>IF('Templ-Cons'!I182="","",'Templ-Cons'!I182)</f>
        <v/>
      </c>
      <c r="O255" s="412"/>
      <c r="P255" s="412"/>
      <c r="Q255" s="412"/>
      <c r="R255" s="412"/>
      <c r="S255" s="412"/>
      <c r="T255" s="412"/>
      <c r="U255" s="412"/>
      <c r="V255" s="412"/>
      <c r="W255" s="412"/>
      <c r="X255" s="412"/>
      <c r="Y255" s="412"/>
      <c r="Z255" s="412"/>
      <c r="AA255" s="412"/>
      <c r="AB255" s="412"/>
      <c r="AC255" s="412"/>
      <c r="AD255" s="412"/>
    </row>
    <row r="256" spans="1:30">
      <c r="A256" s="412"/>
      <c r="B256" s="412"/>
      <c r="C256" s="412" t="str">
        <f>'Templ-Mats'!B158</f>
        <v>AF106</v>
      </c>
      <c r="D256" s="412" t="str">
        <f>'Templ-Mats'!C158</f>
        <v>Concrete: Expanded shale - clay - slate - expanded slags - cinders - pumice - 1280 kg/m3 - 102mm</v>
      </c>
      <c r="E256" s="412"/>
      <c r="F256" s="418">
        <f t="shared" si="11"/>
        <v>0.19065420560747662</v>
      </c>
      <c r="G256" s="412">
        <f>'Templ-Mats'!J158</f>
        <v>0.53500000000000003</v>
      </c>
      <c r="H256" s="412">
        <f>'Templ-Mats'!G158</f>
        <v>102</v>
      </c>
      <c r="I256" s="412" t="str">
        <f>IF('Templ-Cons'!L183="","",'Templ-Cons'!L183)</f>
        <v/>
      </c>
      <c r="J256" s="412" t="str">
        <f>IF('Templ-Cons'!F183="","",'Templ-Cons'!F183)</f>
        <v/>
      </c>
      <c r="K256" s="412" t="str">
        <f>IF('Templ-Cons'!H183="","",'Templ-Cons'!H183)</f>
        <v/>
      </c>
      <c r="L256" s="412" t="str">
        <f>IF('Templ-Cons'!G183="","",'Templ-Cons'!G183)</f>
        <v/>
      </c>
      <c r="M256" s="412" t="str">
        <f>IF('Templ-Cons'!H183="","",'Templ-Cons'!H183)</f>
        <v/>
      </c>
      <c r="N256" s="412" t="str">
        <f>IF('Templ-Cons'!I183="","",'Templ-Cons'!I183)</f>
        <v/>
      </c>
      <c r="O256" s="412"/>
      <c r="P256" s="412"/>
      <c r="Q256" s="412"/>
      <c r="R256" s="412"/>
      <c r="S256" s="412"/>
      <c r="T256" s="412"/>
      <c r="U256" s="412"/>
      <c r="V256" s="412"/>
      <c r="W256" s="412"/>
      <c r="X256" s="412"/>
      <c r="Y256" s="412"/>
      <c r="Z256" s="412"/>
      <c r="AA256" s="412"/>
      <c r="AB256" s="412"/>
      <c r="AC256" s="412"/>
      <c r="AD256" s="412"/>
    </row>
    <row r="257" spans="1:30">
      <c r="A257" s="412"/>
      <c r="B257" s="412"/>
      <c r="C257" s="412" t="str">
        <f>'Templ-Mats'!B159</f>
        <v>AF107</v>
      </c>
      <c r="D257" s="412" t="str">
        <f>'Templ-Mats'!C159</f>
        <v>Concrete: Expanded shale - clay - slate - expanded slags - cinders - pumice - 960 kg/m3 - 102mm</v>
      </c>
      <c r="E257" s="412"/>
      <c r="F257" s="418">
        <f t="shared" si="11"/>
        <v>0.30909090909090908</v>
      </c>
      <c r="G257" s="412">
        <f>'Templ-Mats'!J159</f>
        <v>0.33</v>
      </c>
      <c r="H257" s="412">
        <f>'Templ-Mats'!G159</f>
        <v>102</v>
      </c>
      <c r="I257" s="412" t="str">
        <f>IF('Templ-Cons'!L184="","",'Templ-Cons'!L184)</f>
        <v/>
      </c>
      <c r="J257" s="412" t="str">
        <f>IF('Templ-Cons'!F184="","",'Templ-Cons'!F184)</f>
        <v/>
      </c>
      <c r="K257" s="412" t="str">
        <f>IF('Templ-Cons'!H184="","",'Templ-Cons'!H184)</f>
        <v/>
      </c>
      <c r="L257" s="412" t="str">
        <f>IF('Templ-Cons'!G184="","",'Templ-Cons'!G184)</f>
        <v/>
      </c>
      <c r="M257" s="412" t="str">
        <f>IF('Templ-Cons'!H184="","",'Templ-Cons'!H184)</f>
        <v/>
      </c>
      <c r="N257" s="412" t="str">
        <f>IF('Templ-Cons'!I184="","",'Templ-Cons'!I184)</f>
        <v/>
      </c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412"/>
      <c r="Z257" s="412"/>
      <c r="AA257" s="412"/>
      <c r="AB257" s="412"/>
      <c r="AC257" s="412"/>
      <c r="AD257" s="412"/>
    </row>
    <row r="258" spans="1:30">
      <c r="A258" s="412"/>
      <c r="B258" s="412"/>
      <c r="C258" s="412" t="str">
        <f>'Templ-Mats'!B160</f>
        <v>AF108</v>
      </c>
      <c r="D258" s="412" t="str">
        <f>'Templ-Mats'!C160</f>
        <v>Concrete: Expanded shale - clay - slate - expanded slags - cinders - pumice - 640 kg/m3 - 102mm</v>
      </c>
      <c r="E258" s="412"/>
      <c r="F258" s="418">
        <f t="shared" si="11"/>
        <v>0.56666666666666665</v>
      </c>
      <c r="G258" s="412">
        <f>'Templ-Mats'!J160</f>
        <v>0.18</v>
      </c>
      <c r="H258" s="412">
        <f>'Templ-Mats'!G160</f>
        <v>102</v>
      </c>
      <c r="I258" s="412" t="str">
        <f>IF('Templ-Cons'!L185="","",'Templ-Cons'!L185)</f>
        <v/>
      </c>
      <c r="J258" s="412" t="str">
        <f>IF('Templ-Cons'!F185="","",'Templ-Cons'!F185)</f>
        <v/>
      </c>
      <c r="K258" s="412" t="str">
        <f>IF('Templ-Cons'!H185="","",'Templ-Cons'!H185)</f>
        <v/>
      </c>
      <c r="L258" s="412" t="str">
        <f>IF('Templ-Cons'!G185="","",'Templ-Cons'!G185)</f>
        <v/>
      </c>
      <c r="M258" s="412" t="str">
        <f>IF('Templ-Cons'!H185="","",'Templ-Cons'!H185)</f>
        <v/>
      </c>
      <c r="N258" s="412" t="str">
        <f>IF('Templ-Cons'!I185="","",'Templ-Cons'!I185)</f>
        <v/>
      </c>
      <c r="O258" s="412"/>
      <c r="P258" s="412"/>
      <c r="Q258" s="412"/>
      <c r="R258" s="412"/>
      <c r="S258" s="412"/>
      <c r="T258" s="412"/>
      <c r="U258" s="412"/>
      <c r="V258" s="412"/>
      <c r="W258" s="412"/>
      <c r="X258" s="412"/>
      <c r="Y258" s="412"/>
      <c r="Z258" s="412"/>
      <c r="AA258" s="412"/>
      <c r="AB258" s="412"/>
      <c r="AC258" s="412"/>
      <c r="AD258" s="412"/>
    </row>
    <row r="259" spans="1:30">
      <c r="A259" s="412"/>
      <c r="B259" s="412"/>
      <c r="C259" s="412" t="str">
        <f>'Templ-Mats'!B161</f>
        <v>AF109</v>
      </c>
      <c r="D259" s="412" t="str">
        <f>'Templ-Mats'!C161</f>
        <v>Concrete: Perlite - vermiculite - and polystyrene beads - 800 kg/m3 - 102mm</v>
      </c>
      <c r="E259" s="412"/>
      <c r="F259" s="418">
        <f t="shared" si="11"/>
        <v>0.38490566037735846</v>
      </c>
      <c r="G259" s="412">
        <f>'Templ-Mats'!J161</f>
        <v>0.26500000000000001</v>
      </c>
      <c r="H259" s="412">
        <f>'Templ-Mats'!G161</f>
        <v>102</v>
      </c>
      <c r="I259" s="412" t="str">
        <f>IF('Templ-Cons'!L186="","",'Templ-Cons'!L186)</f>
        <v/>
      </c>
      <c r="J259" s="412" t="str">
        <f>IF('Templ-Cons'!F186="","",'Templ-Cons'!F186)</f>
        <v/>
      </c>
      <c r="K259" s="412" t="str">
        <f>IF('Templ-Cons'!H186="","",'Templ-Cons'!H186)</f>
        <v/>
      </c>
      <c r="L259" s="412" t="str">
        <f>IF('Templ-Cons'!G186="","",'Templ-Cons'!G186)</f>
        <v/>
      </c>
      <c r="M259" s="412" t="str">
        <f>IF('Templ-Cons'!H186="","",'Templ-Cons'!H186)</f>
        <v/>
      </c>
      <c r="N259" s="412" t="str">
        <f>IF('Templ-Cons'!I186="","",'Templ-Cons'!I186)</f>
        <v/>
      </c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412"/>
      <c r="Z259" s="412"/>
      <c r="AA259" s="412"/>
      <c r="AB259" s="412"/>
      <c r="AC259" s="412"/>
      <c r="AD259" s="412"/>
    </row>
    <row r="260" spans="1:30">
      <c r="A260" s="412"/>
      <c r="B260" s="412"/>
      <c r="C260" s="412" t="str">
        <f>'Templ-Mats'!B162</f>
        <v>AF110</v>
      </c>
      <c r="D260" s="412" t="str">
        <f>'Templ-Mats'!C162</f>
        <v>Concrete: Perlite - vermiculite - and polystyrene beads - 640 kg/m3 - 102mm</v>
      </c>
      <c r="E260" s="412"/>
      <c r="F260" s="418">
        <f t="shared" si="11"/>
        <v>0.48571428571428571</v>
      </c>
      <c r="G260" s="412">
        <f>'Templ-Mats'!J162</f>
        <v>0.21</v>
      </c>
      <c r="H260" s="412">
        <f>'Templ-Mats'!G162</f>
        <v>102</v>
      </c>
      <c r="I260" s="412" t="str">
        <f>IF('Templ-Cons'!L187="","",'Templ-Cons'!L187)</f>
        <v/>
      </c>
      <c r="J260" s="412" t="str">
        <f>IF('Templ-Cons'!F187="","",'Templ-Cons'!F187)</f>
        <v/>
      </c>
      <c r="K260" s="412" t="str">
        <f>IF('Templ-Cons'!H187="","",'Templ-Cons'!H187)</f>
        <v/>
      </c>
      <c r="L260" s="412" t="str">
        <f>IF('Templ-Cons'!G187="","",'Templ-Cons'!G187)</f>
        <v/>
      </c>
      <c r="M260" s="412" t="str">
        <f>IF('Templ-Cons'!H187="","",'Templ-Cons'!H187)</f>
        <v/>
      </c>
      <c r="N260" s="412" t="str">
        <f>IF('Templ-Cons'!I187="","",'Templ-Cons'!I187)</f>
        <v/>
      </c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412"/>
      <c r="AA260" s="412"/>
      <c r="AB260" s="412"/>
      <c r="AC260" s="412"/>
      <c r="AD260" s="412"/>
    </row>
    <row r="261" spans="1:30">
      <c r="A261" s="412"/>
      <c r="B261" s="412"/>
      <c r="C261" s="412" t="str">
        <f>'Templ-Mats'!B163</f>
        <v>AF111</v>
      </c>
      <c r="D261" s="412" t="str">
        <f>'Templ-Mats'!C163</f>
        <v>Concrete: Perlite - vermiculite - and polystyrene beads - 480 kg/m3 - 102mm</v>
      </c>
      <c r="E261" s="412"/>
      <c r="F261" s="418">
        <f t="shared" si="11"/>
        <v>0.63749999999999996</v>
      </c>
      <c r="G261" s="412">
        <f>'Templ-Mats'!J163</f>
        <v>0.16</v>
      </c>
      <c r="H261" s="412">
        <f>'Templ-Mats'!G163</f>
        <v>102</v>
      </c>
      <c r="I261" s="412" t="str">
        <f>IF('Templ-Cons'!L188="","",'Templ-Cons'!L188)</f>
        <v/>
      </c>
      <c r="J261" s="412" t="str">
        <f>IF('Templ-Cons'!F188="","",'Templ-Cons'!F188)</f>
        <v/>
      </c>
      <c r="K261" s="412" t="str">
        <f>IF('Templ-Cons'!H188="","",'Templ-Cons'!H188)</f>
        <v/>
      </c>
      <c r="L261" s="412" t="str">
        <f>IF('Templ-Cons'!G188="","",'Templ-Cons'!G188)</f>
        <v/>
      </c>
      <c r="M261" s="412" t="str">
        <f>IF('Templ-Cons'!H188="","",'Templ-Cons'!H188)</f>
        <v/>
      </c>
      <c r="N261" s="412" t="str">
        <f>IF('Templ-Cons'!I188="","",'Templ-Cons'!I188)</f>
        <v/>
      </c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412"/>
      <c r="AA261" s="412"/>
      <c r="AB261" s="412"/>
      <c r="AC261" s="412"/>
      <c r="AD261" s="412"/>
    </row>
    <row r="262" spans="1:30">
      <c r="A262" s="412"/>
      <c r="B262" s="412"/>
      <c r="C262" s="412" t="str">
        <f>'Templ-Mats'!B164</f>
        <v>AF112</v>
      </c>
      <c r="D262" s="412" t="str">
        <f>'Templ-Mats'!C164</f>
        <v>Concrete: Perlite - vermiculite - and polystyrene beads - 320 kg/m3 - 102mm</v>
      </c>
      <c r="E262" s="412"/>
      <c r="F262" s="418">
        <f t="shared" si="11"/>
        <v>0.85</v>
      </c>
      <c r="G262" s="412">
        <f>'Templ-Mats'!J164</f>
        <v>0.12</v>
      </c>
      <c r="H262" s="412">
        <f>'Templ-Mats'!G164</f>
        <v>102</v>
      </c>
      <c r="I262" s="412" t="str">
        <f>IF('Templ-Cons'!L189="","",'Templ-Cons'!L189)</f>
        <v/>
      </c>
      <c r="J262" s="412" t="str">
        <f>IF('Templ-Cons'!F189="","",'Templ-Cons'!F189)</f>
        <v/>
      </c>
      <c r="K262" s="412" t="str">
        <f>IF('Templ-Cons'!H189="","",'Templ-Cons'!H189)</f>
        <v/>
      </c>
      <c r="L262" s="412" t="str">
        <f>IF('Templ-Cons'!G189="","",'Templ-Cons'!G189)</f>
        <v/>
      </c>
      <c r="M262" s="412" t="str">
        <f>IF('Templ-Cons'!H189="","",'Templ-Cons'!H189)</f>
        <v/>
      </c>
      <c r="N262" s="412" t="str">
        <f>IF('Templ-Cons'!I189="","",'Templ-Cons'!I189)</f>
        <v/>
      </c>
      <c r="O262" s="412"/>
      <c r="P262" s="412"/>
      <c r="Q262" s="412"/>
      <c r="R262" s="412"/>
      <c r="S262" s="412"/>
      <c r="T262" s="412"/>
      <c r="U262" s="412"/>
      <c r="V262" s="412"/>
      <c r="W262" s="412"/>
      <c r="X262" s="412"/>
      <c r="Y262" s="412"/>
      <c r="Z262" s="412"/>
      <c r="AA262" s="412"/>
      <c r="AB262" s="412"/>
      <c r="AC262" s="412"/>
      <c r="AD262" s="412"/>
    </row>
    <row r="263" spans="1:30">
      <c r="A263" s="412"/>
      <c r="B263" s="412"/>
      <c r="C263" s="412" t="str">
        <f>'Templ-Mats'!B165</f>
        <v>AF113</v>
      </c>
      <c r="D263" s="412" t="str">
        <f>'Templ-Mats'!C165</f>
        <v>Concrete: Foam concretes - 1920 kg/m3 - 102mm</v>
      </c>
      <c r="E263" s="412"/>
      <c r="F263" s="418">
        <f t="shared" si="11"/>
        <v>0.13599999999999998</v>
      </c>
      <c r="G263" s="412">
        <f>'Templ-Mats'!J165</f>
        <v>0.75</v>
      </c>
      <c r="H263" s="412">
        <f>'Templ-Mats'!G165</f>
        <v>102</v>
      </c>
      <c r="I263" s="412" t="str">
        <f>IF('Templ-Cons'!L190="","",'Templ-Cons'!L190)</f>
        <v/>
      </c>
      <c r="J263" s="412" t="str">
        <f>IF('Templ-Cons'!F190="","",'Templ-Cons'!F190)</f>
        <v/>
      </c>
      <c r="K263" s="412" t="str">
        <f>IF('Templ-Cons'!H190="","",'Templ-Cons'!H190)</f>
        <v/>
      </c>
      <c r="L263" s="412" t="str">
        <f>IF('Templ-Cons'!G190="","",'Templ-Cons'!G190)</f>
        <v/>
      </c>
      <c r="M263" s="412" t="str">
        <f>IF('Templ-Cons'!H190="","",'Templ-Cons'!H190)</f>
        <v/>
      </c>
      <c r="N263" s="412" t="str">
        <f>IF('Templ-Cons'!I190="","",'Templ-Cons'!I190)</f>
        <v/>
      </c>
      <c r="O263" s="412"/>
      <c r="P263" s="412"/>
      <c r="Q263" s="412"/>
      <c r="R263" s="412"/>
      <c r="S263" s="412"/>
      <c r="T263" s="412"/>
      <c r="U263" s="412"/>
      <c r="V263" s="412"/>
      <c r="W263" s="412"/>
      <c r="X263" s="412"/>
      <c r="Y263" s="412"/>
      <c r="Z263" s="412"/>
      <c r="AA263" s="412"/>
      <c r="AB263" s="412"/>
      <c r="AC263" s="412"/>
      <c r="AD263" s="412"/>
    </row>
    <row r="264" spans="1:30">
      <c r="A264" s="412"/>
      <c r="B264" s="412"/>
      <c r="C264" s="412" t="str">
        <f>'Templ-Mats'!B166</f>
        <v>AF114</v>
      </c>
      <c r="D264" s="412" t="str">
        <f>'Templ-Mats'!C166</f>
        <v>Concrete: Foam concretes - 1600 kg/m3 - 102mm</v>
      </c>
      <c r="E264" s="412"/>
      <c r="F264" s="418">
        <f t="shared" si="11"/>
        <v>0.16999999999999998</v>
      </c>
      <c r="G264" s="412">
        <f>'Templ-Mats'!J166</f>
        <v>0.6</v>
      </c>
      <c r="H264" s="412">
        <f>'Templ-Mats'!G166</f>
        <v>102</v>
      </c>
      <c r="I264" s="412" t="str">
        <f>IF('Templ-Cons'!L191="","",'Templ-Cons'!L191)</f>
        <v/>
      </c>
      <c r="J264" s="412" t="str">
        <f>IF('Templ-Cons'!F191="","",'Templ-Cons'!F191)</f>
        <v/>
      </c>
      <c r="K264" s="412" t="str">
        <f>IF('Templ-Cons'!H191="","",'Templ-Cons'!H191)</f>
        <v/>
      </c>
      <c r="L264" s="412" t="str">
        <f>IF('Templ-Cons'!G191="","",'Templ-Cons'!G191)</f>
        <v/>
      </c>
      <c r="M264" s="412" t="str">
        <f>IF('Templ-Cons'!H191="","",'Templ-Cons'!H191)</f>
        <v/>
      </c>
      <c r="N264" s="412" t="str">
        <f>IF('Templ-Cons'!I191="","",'Templ-Cons'!I191)</f>
        <v/>
      </c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412"/>
      <c r="AB264" s="412"/>
      <c r="AC264" s="412"/>
      <c r="AD264" s="412"/>
    </row>
    <row r="265" spans="1:30">
      <c r="A265" s="412"/>
      <c r="B265" s="412"/>
      <c r="C265" s="412" t="str">
        <f>'Templ-Mats'!B167</f>
        <v>AF115</v>
      </c>
      <c r="D265" s="412" t="str">
        <f>'Templ-Mats'!C167</f>
        <v>Concrete: Foam concretes - 1280 kg/m3 - 102mm</v>
      </c>
      <c r="E265" s="412"/>
      <c r="F265" s="418">
        <f t="shared" si="11"/>
        <v>0.23181818181818181</v>
      </c>
      <c r="G265" s="412">
        <f>'Templ-Mats'!J167</f>
        <v>0.44</v>
      </c>
      <c r="H265" s="412">
        <f>'Templ-Mats'!G167</f>
        <v>102</v>
      </c>
      <c r="I265" s="412" t="str">
        <f>IF('Templ-Cons'!L192="","",'Templ-Cons'!L192)</f>
        <v/>
      </c>
      <c r="J265" s="412" t="str">
        <f>IF('Templ-Cons'!F192="","",'Templ-Cons'!F192)</f>
        <v/>
      </c>
      <c r="K265" s="412" t="str">
        <f>IF('Templ-Cons'!H192="","",'Templ-Cons'!H192)</f>
        <v/>
      </c>
      <c r="L265" s="412" t="str">
        <f>IF('Templ-Cons'!G192="","",'Templ-Cons'!G192)</f>
        <v/>
      </c>
      <c r="M265" s="412" t="str">
        <f>IF('Templ-Cons'!H192="","",'Templ-Cons'!H192)</f>
        <v/>
      </c>
      <c r="N265" s="412" t="str">
        <f>IF('Templ-Cons'!I192="","",'Templ-Cons'!I192)</f>
        <v/>
      </c>
      <c r="O265" s="412"/>
      <c r="P265" s="412"/>
      <c r="Q265" s="412"/>
      <c r="R265" s="412"/>
      <c r="S265" s="412"/>
      <c r="T265" s="412"/>
      <c r="U265" s="412"/>
      <c r="V265" s="412"/>
      <c r="W265" s="412"/>
      <c r="X265" s="412"/>
      <c r="Y265" s="412"/>
      <c r="Z265" s="412"/>
      <c r="AA265" s="412"/>
      <c r="AB265" s="412"/>
      <c r="AC265" s="412"/>
      <c r="AD265" s="412"/>
    </row>
    <row r="266" spans="1:30">
      <c r="A266" s="412"/>
      <c r="B266" s="412"/>
      <c r="C266" s="412" t="str">
        <f>'Templ-Mats'!B168</f>
        <v>AF116</v>
      </c>
      <c r="D266" s="412" t="str">
        <f>'Templ-Mats'!C168</f>
        <v>Concrete: Foam concretes - 1120 kg/m3 - 102mm</v>
      </c>
      <c r="E266" s="412"/>
      <c r="F266" s="418">
        <f t="shared" si="11"/>
        <v>0.28333333333333333</v>
      </c>
      <c r="G266" s="412">
        <f>'Templ-Mats'!J168</f>
        <v>0.36</v>
      </c>
      <c r="H266" s="412">
        <f>'Templ-Mats'!G168</f>
        <v>102</v>
      </c>
      <c r="I266" s="412" t="str">
        <f>IF('Templ-Cons'!L193="","",'Templ-Cons'!L193)</f>
        <v/>
      </c>
      <c r="J266" s="412" t="str">
        <f>IF('Templ-Cons'!F193="","",'Templ-Cons'!F193)</f>
        <v/>
      </c>
      <c r="K266" s="412" t="str">
        <f>IF('Templ-Cons'!H193="","",'Templ-Cons'!H193)</f>
        <v/>
      </c>
      <c r="L266" s="412" t="str">
        <f>IF('Templ-Cons'!G193="","",'Templ-Cons'!G193)</f>
        <v/>
      </c>
      <c r="M266" s="412" t="str">
        <f>IF('Templ-Cons'!H193="","",'Templ-Cons'!H193)</f>
        <v/>
      </c>
      <c r="N266" s="412" t="str">
        <f>IF('Templ-Cons'!I193="","",'Templ-Cons'!I193)</f>
        <v/>
      </c>
      <c r="O266" s="412"/>
      <c r="P266" s="412"/>
      <c r="Q266" s="412"/>
      <c r="R266" s="412"/>
      <c r="S266" s="412"/>
      <c r="T266" s="412"/>
      <c r="U266" s="412"/>
      <c r="V266" s="412"/>
      <c r="W266" s="412"/>
      <c r="X266" s="412"/>
      <c r="Y266" s="412"/>
      <c r="Z266" s="412"/>
      <c r="AA266" s="412"/>
      <c r="AB266" s="412"/>
      <c r="AC266" s="412"/>
      <c r="AD266" s="412"/>
    </row>
    <row r="267" spans="1:30">
      <c r="A267" s="412"/>
      <c r="B267" s="412"/>
      <c r="C267" s="412" t="str">
        <f>'Templ-Mats'!B169</f>
        <v>AF117</v>
      </c>
      <c r="D267" s="412" t="str">
        <f>'Templ-Mats'!C169</f>
        <v>Concrete: Foam concretes and cellular concretes - 960 kg/m3 - 102mm</v>
      </c>
      <c r="E267" s="412"/>
      <c r="F267" s="418">
        <f t="shared" si="11"/>
        <v>0.33999999999999997</v>
      </c>
      <c r="G267" s="412">
        <f>'Templ-Mats'!J169</f>
        <v>0.3</v>
      </c>
      <c r="H267" s="412">
        <f>'Templ-Mats'!G169</f>
        <v>102</v>
      </c>
      <c r="I267" s="412" t="str">
        <f>IF('Templ-Cons'!L194="","",'Templ-Cons'!L194)</f>
        <v/>
      </c>
      <c r="J267" s="412" t="str">
        <f>IF('Templ-Cons'!F194="","",'Templ-Cons'!F194)</f>
        <v/>
      </c>
      <c r="K267" s="412" t="str">
        <f>IF('Templ-Cons'!H194="","",'Templ-Cons'!H194)</f>
        <v/>
      </c>
      <c r="L267" s="412" t="str">
        <f>IF('Templ-Cons'!G194="","",'Templ-Cons'!G194)</f>
        <v/>
      </c>
      <c r="M267" s="412" t="str">
        <f>IF('Templ-Cons'!H194="","",'Templ-Cons'!H194)</f>
        <v/>
      </c>
      <c r="N267" s="412" t="str">
        <f>IF('Templ-Cons'!I194="","",'Templ-Cons'!I194)</f>
        <v/>
      </c>
      <c r="O267" s="412"/>
      <c r="P267" s="412"/>
      <c r="Q267" s="412"/>
      <c r="R267" s="412"/>
      <c r="S267" s="412"/>
      <c r="T267" s="412"/>
      <c r="U267" s="412"/>
      <c r="V267" s="412"/>
      <c r="W267" s="412"/>
      <c r="X267" s="412"/>
      <c r="Y267" s="412"/>
      <c r="Z267" s="412"/>
      <c r="AA267" s="412"/>
      <c r="AB267" s="412"/>
      <c r="AC267" s="412"/>
      <c r="AD267" s="412"/>
    </row>
    <row r="268" spans="1:30">
      <c r="A268" s="412"/>
      <c r="B268" s="412"/>
      <c r="C268" s="412" t="str">
        <f>'Templ-Mats'!B170</f>
        <v>AF118</v>
      </c>
      <c r="D268" s="412" t="str">
        <f>'Templ-Mats'!C170</f>
        <v>Concrete: Foam concretes and cellular concretes - 640 kg/m3 - 102mm</v>
      </c>
      <c r="E268" s="412"/>
      <c r="F268" s="418">
        <f t="shared" si="11"/>
        <v>0.5099999999999999</v>
      </c>
      <c r="G268" s="412">
        <f>'Templ-Mats'!J170</f>
        <v>0.2</v>
      </c>
      <c r="H268" s="412">
        <f>'Templ-Mats'!G170</f>
        <v>102</v>
      </c>
      <c r="I268" s="412" t="str">
        <f>IF('Templ-Cons'!L195="","",'Templ-Cons'!L195)</f>
        <v/>
      </c>
      <c r="J268" s="412" t="str">
        <f>IF('Templ-Cons'!F195="","",'Templ-Cons'!F195)</f>
        <v/>
      </c>
      <c r="K268" s="412" t="str">
        <f>IF('Templ-Cons'!H195="","",'Templ-Cons'!H195)</f>
        <v/>
      </c>
      <c r="L268" s="412" t="str">
        <f>IF('Templ-Cons'!G195="","",'Templ-Cons'!G195)</f>
        <v/>
      </c>
      <c r="M268" s="412" t="str">
        <f>IF('Templ-Cons'!H195="","",'Templ-Cons'!H195)</f>
        <v/>
      </c>
      <c r="N268" s="412" t="str">
        <f>IF('Templ-Cons'!I195="","",'Templ-Cons'!I195)</f>
        <v/>
      </c>
      <c r="O268" s="412"/>
      <c r="P268" s="412"/>
      <c r="Q268" s="412"/>
      <c r="R268" s="412"/>
      <c r="S268" s="412"/>
      <c r="T268" s="412"/>
      <c r="U268" s="412"/>
      <c r="V268" s="412"/>
      <c r="W268" s="412"/>
      <c r="X268" s="412"/>
      <c r="Y268" s="412"/>
      <c r="Z268" s="412"/>
      <c r="AA268" s="412"/>
      <c r="AB268" s="412"/>
      <c r="AC268" s="412"/>
      <c r="AD268" s="412"/>
    </row>
    <row r="269" spans="1:30">
      <c r="A269" s="412"/>
      <c r="B269" s="412"/>
      <c r="C269" s="412" t="str">
        <f>'Templ-Mats'!B171</f>
        <v>AF119</v>
      </c>
      <c r="D269" s="412" t="str">
        <f>'Templ-Mats'!C171</f>
        <v>Concrete: Foam concretes and cellular concretes - 320 kg/m3 - 102mm</v>
      </c>
      <c r="E269" s="412"/>
      <c r="F269" s="418">
        <f t="shared" si="11"/>
        <v>0.85</v>
      </c>
      <c r="G269" s="412">
        <f>'Templ-Mats'!J171</f>
        <v>0.12</v>
      </c>
      <c r="H269" s="412">
        <f>'Templ-Mats'!G171</f>
        <v>102</v>
      </c>
      <c r="I269" s="412" t="str">
        <f>IF('Templ-Cons'!L196="","",'Templ-Cons'!L196)</f>
        <v/>
      </c>
      <c r="J269" s="412" t="str">
        <f>IF('Templ-Cons'!F196="","",'Templ-Cons'!F196)</f>
        <v/>
      </c>
      <c r="K269" s="412" t="str">
        <f>IF('Templ-Cons'!H196="","",'Templ-Cons'!H196)</f>
        <v/>
      </c>
      <c r="L269" s="412" t="str">
        <f>IF('Templ-Cons'!G196="","",'Templ-Cons'!G196)</f>
        <v/>
      </c>
      <c r="M269" s="412" t="str">
        <f>IF('Templ-Cons'!H196="","",'Templ-Cons'!H196)</f>
        <v/>
      </c>
      <c r="N269" s="412" t="str">
        <f>IF('Templ-Cons'!I196="","",'Templ-Cons'!I196)</f>
        <v/>
      </c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412"/>
      <c r="Z269" s="412"/>
      <c r="AA269" s="412"/>
      <c r="AB269" s="412"/>
      <c r="AC269" s="412"/>
      <c r="AD269" s="412"/>
    </row>
    <row r="270" spans="1:30">
      <c r="A270" s="412"/>
      <c r="B270" s="412"/>
      <c r="C270" s="412" t="str">
        <f>'Templ-Mats'!B172</f>
        <v>AF120</v>
      </c>
      <c r="D270" s="412" t="str">
        <f>'Templ-Mats'!C172</f>
        <v>Hardwood - 12.9mm</v>
      </c>
      <c r="E270" s="412"/>
      <c r="F270" s="418">
        <f t="shared" si="11"/>
        <v>7.7245508982035929E-2</v>
      </c>
      <c r="G270" s="412">
        <f>'Templ-Mats'!J172</f>
        <v>0.16700000000000001</v>
      </c>
      <c r="H270" s="412">
        <f>'Templ-Mats'!G172</f>
        <v>12.9</v>
      </c>
      <c r="I270" s="412" t="str">
        <f>IF('Templ-Cons'!L197="","",'Templ-Cons'!L197)</f>
        <v/>
      </c>
      <c r="J270" s="412" t="str">
        <f>IF('Templ-Cons'!F197="","",'Templ-Cons'!F197)</f>
        <v/>
      </c>
      <c r="K270" s="412" t="str">
        <f>IF('Templ-Cons'!H197="","",'Templ-Cons'!H197)</f>
        <v/>
      </c>
      <c r="L270" s="412" t="str">
        <f>IF('Templ-Cons'!G197="","",'Templ-Cons'!G197)</f>
        <v/>
      </c>
      <c r="M270" s="412" t="str">
        <f>IF('Templ-Cons'!H197="","",'Templ-Cons'!H197)</f>
        <v/>
      </c>
      <c r="N270" s="412" t="str">
        <f>IF('Templ-Cons'!I197="","",'Templ-Cons'!I197)</f>
        <v/>
      </c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412"/>
      <c r="Z270" s="412"/>
      <c r="AA270" s="412"/>
      <c r="AB270" s="412"/>
      <c r="AC270" s="412"/>
      <c r="AD270" s="412"/>
    </row>
    <row r="271" spans="1:30">
      <c r="A271" s="412"/>
      <c r="B271" s="412"/>
      <c r="C271" s="412" t="str">
        <f>'Templ-Mats'!B173</f>
        <v>AF121</v>
      </c>
      <c r="D271" s="412" t="str">
        <f>'Templ-Mats'!C173</f>
        <v>Hardwood - 25mm</v>
      </c>
      <c r="E271" s="412"/>
      <c r="F271" s="418">
        <f t="shared" si="11"/>
        <v>0.1497005988023952</v>
      </c>
      <c r="G271" s="412">
        <f>'Templ-Mats'!J173</f>
        <v>0.16700000000000001</v>
      </c>
      <c r="H271" s="412">
        <f>'Templ-Mats'!G173</f>
        <v>25</v>
      </c>
      <c r="I271" s="412" t="str">
        <f>IF('Templ-Cons'!L198="","",'Templ-Cons'!L198)</f>
        <v/>
      </c>
      <c r="J271" s="412" t="str">
        <f>IF('Templ-Cons'!F198="","",'Templ-Cons'!F198)</f>
        <v/>
      </c>
      <c r="K271" s="412" t="str">
        <f>IF('Templ-Cons'!H198="","",'Templ-Cons'!H198)</f>
        <v/>
      </c>
      <c r="L271" s="412" t="str">
        <f>IF('Templ-Cons'!G198="","",'Templ-Cons'!G198)</f>
        <v/>
      </c>
      <c r="M271" s="412" t="str">
        <f>IF('Templ-Cons'!H198="","",'Templ-Cons'!H198)</f>
        <v/>
      </c>
      <c r="N271" s="412" t="str">
        <f>IF('Templ-Cons'!I198="","",'Templ-Cons'!I198)</f>
        <v/>
      </c>
      <c r="O271" s="412"/>
      <c r="P271" s="412"/>
      <c r="Q271" s="412"/>
      <c r="R271" s="412"/>
      <c r="S271" s="412"/>
      <c r="T271" s="412"/>
      <c r="U271" s="412"/>
      <c r="V271" s="412"/>
      <c r="W271" s="412"/>
      <c r="X271" s="412"/>
      <c r="Y271" s="412"/>
      <c r="Z271" s="412"/>
      <c r="AA271" s="412"/>
      <c r="AB271" s="412"/>
      <c r="AC271" s="412"/>
      <c r="AD271" s="412"/>
    </row>
    <row r="272" spans="1:30">
      <c r="A272" s="412"/>
      <c r="B272" s="412"/>
      <c r="C272" s="412" t="str">
        <f>'Templ-Mats'!B174</f>
        <v>AF122</v>
      </c>
      <c r="D272" s="412" t="str">
        <f>'Templ-Mats'!C174</f>
        <v>Oak - 25mm</v>
      </c>
      <c r="E272" s="412"/>
      <c r="F272" s="418">
        <f t="shared" si="11"/>
        <v>0.14705882352941177</v>
      </c>
      <c r="G272" s="412">
        <f>'Templ-Mats'!J174</f>
        <v>0.17</v>
      </c>
      <c r="H272" s="412">
        <f>'Templ-Mats'!G174</f>
        <v>25</v>
      </c>
      <c r="I272" s="412" t="str">
        <f>IF('Templ-Cons'!L199="","",'Templ-Cons'!L199)</f>
        <v/>
      </c>
      <c r="J272" s="412" t="str">
        <f>IF('Templ-Cons'!F199="","",'Templ-Cons'!F199)</f>
        <v/>
      </c>
      <c r="K272" s="412" t="str">
        <f>IF('Templ-Cons'!H199="","",'Templ-Cons'!H199)</f>
        <v/>
      </c>
      <c r="L272" s="412" t="str">
        <f>IF('Templ-Cons'!G199="","",'Templ-Cons'!G199)</f>
        <v/>
      </c>
      <c r="M272" s="412" t="str">
        <f>IF('Templ-Cons'!H199="","",'Templ-Cons'!H199)</f>
        <v/>
      </c>
      <c r="N272" s="412" t="str">
        <f>IF('Templ-Cons'!I199="","",'Templ-Cons'!I199)</f>
        <v/>
      </c>
      <c r="O272" s="412"/>
      <c r="P272" s="412"/>
      <c r="Q272" s="412"/>
      <c r="R272" s="412"/>
      <c r="S272" s="412"/>
      <c r="T272" s="412"/>
      <c r="U272" s="412"/>
      <c r="V272" s="412"/>
      <c r="W272" s="412"/>
      <c r="X272" s="412"/>
      <c r="Y272" s="412"/>
      <c r="Z272" s="412"/>
      <c r="AA272" s="412"/>
      <c r="AB272" s="412"/>
      <c r="AC272" s="412"/>
      <c r="AD272" s="412"/>
    </row>
    <row r="273" spans="1:30">
      <c r="A273" s="412"/>
      <c r="B273" s="412"/>
      <c r="C273" s="412" t="str">
        <f>'Templ-Mats'!B175</f>
        <v>AF123</v>
      </c>
      <c r="D273" s="412" t="str">
        <f>'Templ-Mats'!C175</f>
        <v>Birch - 25mm</v>
      </c>
      <c r="E273" s="412"/>
      <c r="F273" s="418">
        <f t="shared" si="11"/>
        <v>0.14534883720930233</v>
      </c>
      <c r="G273" s="412">
        <f>'Templ-Mats'!J175</f>
        <v>0.17199999999999999</v>
      </c>
      <c r="H273" s="412">
        <f>'Templ-Mats'!G175</f>
        <v>25</v>
      </c>
      <c r="I273" s="412" t="str">
        <f>IF('Templ-Cons'!L200="","",'Templ-Cons'!L200)</f>
        <v/>
      </c>
      <c r="J273" s="412" t="str">
        <f>IF('Templ-Cons'!F200="","",'Templ-Cons'!F200)</f>
        <v/>
      </c>
      <c r="K273" s="412" t="str">
        <f>IF('Templ-Cons'!H200="","",'Templ-Cons'!H200)</f>
        <v/>
      </c>
      <c r="L273" s="412" t="str">
        <f>IF('Templ-Cons'!G200="","",'Templ-Cons'!G200)</f>
        <v/>
      </c>
      <c r="M273" s="412" t="str">
        <f>IF('Templ-Cons'!H200="","",'Templ-Cons'!H200)</f>
        <v/>
      </c>
      <c r="N273" s="412" t="str">
        <f>IF('Templ-Cons'!I200="","",'Templ-Cons'!I200)</f>
        <v/>
      </c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412"/>
      <c r="AA273" s="412"/>
      <c r="AB273" s="412"/>
      <c r="AC273" s="412"/>
      <c r="AD273" s="412"/>
    </row>
    <row r="274" spans="1:30">
      <c r="A274" s="412"/>
      <c r="B274" s="412"/>
      <c r="C274" s="412" t="str">
        <f>'Templ-Mats'!B176</f>
        <v>AF124</v>
      </c>
      <c r="D274" s="412" t="str">
        <f>'Templ-Mats'!C176</f>
        <v>Maple - 25mm</v>
      </c>
      <c r="E274" s="412"/>
      <c r="F274" s="418">
        <f t="shared" si="11"/>
        <v>0.1524390243902439</v>
      </c>
      <c r="G274" s="412">
        <f>'Templ-Mats'!J176</f>
        <v>0.16400000000000001</v>
      </c>
      <c r="H274" s="412">
        <f>'Templ-Mats'!G176</f>
        <v>25</v>
      </c>
      <c r="I274" s="412" t="str">
        <f>IF('Templ-Cons'!L201="","",'Templ-Cons'!L201)</f>
        <v/>
      </c>
      <c r="J274" s="412" t="str">
        <f>IF('Templ-Cons'!F201="","",'Templ-Cons'!F201)</f>
        <v/>
      </c>
      <c r="K274" s="412" t="str">
        <f>IF('Templ-Cons'!H201="","",'Templ-Cons'!H201)</f>
        <v/>
      </c>
      <c r="L274" s="412" t="str">
        <f>IF('Templ-Cons'!G201="","",'Templ-Cons'!G201)</f>
        <v/>
      </c>
      <c r="M274" s="412" t="str">
        <f>IF('Templ-Cons'!H201="","",'Templ-Cons'!H201)</f>
        <v/>
      </c>
      <c r="N274" s="412" t="str">
        <f>IF('Templ-Cons'!I201="","",'Templ-Cons'!I201)</f>
        <v/>
      </c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412"/>
      <c r="AA274" s="412"/>
      <c r="AB274" s="412"/>
      <c r="AC274" s="412"/>
      <c r="AD274" s="412"/>
    </row>
    <row r="275" spans="1:30">
      <c r="A275" s="412"/>
      <c r="B275" s="412"/>
      <c r="C275" s="412" t="str">
        <f>'Templ-Mats'!B177</f>
        <v>AF125</v>
      </c>
      <c r="D275" s="412" t="str">
        <f>'Templ-Mats'!C177</f>
        <v>Ash - 25mm</v>
      </c>
      <c r="E275" s="412"/>
      <c r="F275" s="418">
        <f t="shared" si="11"/>
        <v>0.15723270440251572</v>
      </c>
      <c r="G275" s="412">
        <f>'Templ-Mats'!J177</f>
        <v>0.159</v>
      </c>
      <c r="H275" s="412">
        <f>'Templ-Mats'!G177</f>
        <v>25</v>
      </c>
      <c r="I275" s="412" t="str">
        <f>IF('Templ-Cons'!L202="","",'Templ-Cons'!L202)</f>
        <v/>
      </c>
      <c r="J275" s="412" t="str">
        <f>IF('Templ-Cons'!F202="","",'Templ-Cons'!F202)</f>
        <v/>
      </c>
      <c r="K275" s="412" t="str">
        <f>IF('Templ-Cons'!H202="","",'Templ-Cons'!H202)</f>
        <v/>
      </c>
      <c r="L275" s="412" t="str">
        <f>IF('Templ-Cons'!G202="","",'Templ-Cons'!G202)</f>
        <v/>
      </c>
      <c r="M275" s="412" t="str">
        <f>IF('Templ-Cons'!H202="","",'Templ-Cons'!H202)</f>
        <v/>
      </c>
      <c r="N275" s="412" t="str">
        <f>IF('Templ-Cons'!I202="","",'Templ-Cons'!I202)</f>
        <v/>
      </c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412"/>
      <c r="Z275" s="412"/>
      <c r="AA275" s="412"/>
      <c r="AB275" s="412"/>
      <c r="AC275" s="412"/>
      <c r="AD275" s="412"/>
    </row>
    <row r="276" spans="1:30">
      <c r="A276" s="412"/>
      <c r="B276" s="412"/>
      <c r="C276" s="412" t="str">
        <f>'Templ-Mats'!B178</f>
        <v>AF126</v>
      </c>
      <c r="D276" s="412" t="str">
        <f>'Templ-Mats'!C178</f>
        <v>Softwood - 12.9mm</v>
      </c>
      <c r="E276" s="412"/>
      <c r="F276" s="418">
        <f t="shared" si="11"/>
        <v>9.9999999999999992E-2</v>
      </c>
      <c r="G276" s="412">
        <f>'Templ-Mats'!J178</f>
        <v>0.129</v>
      </c>
      <c r="H276" s="412">
        <f>'Templ-Mats'!G178</f>
        <v>12.9</v>
      </c>
      <c r="I276" s="412" t="str">
        <f>IF('Templ-Cons'!L203="","",'Templ-Cons'!L203)</f>
        <v/>
      </c>
      <c r="J276" s="412" t="str">
        <f>IF('Templ-Cons'!F203="","",'Templ-Cons'!F203)</f>
        <v/>
      </c>
      <c r="K276" s="412" t="str">
        <f>IF('Templ-Cons'!H203="","",'Templ-Cons'!H203)</f>
        <v/>
      </c>
      <c r="L276" s="412" t="str">
        <f>IF('Templ-Cons'!G203="","",'Templ-Cons'!G203)</f>
        <v/>
      </c>
      <c r="M276" s="412" t="str">
        <f>IF('Templ-Cons'!H203="","",'Templ-Cons'!H203)</f>
        <v/>
      </c>
      <c r="N276" s="412" t="str">
        <f>IF('Templ-Cons'!I203="","",'Templ-Cons'!I203)</f>
        <v/>
      </c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412"/>
      <c r="Z276" s="412"/>
      <c r="AA276" s="412"/>
      <c r="AB276" s="412"/>
      <c r="AC276" s="412"/>
      <c r="AD276" s="412"/>
    </row>
    <row r="277" spans="1:30">
      <c r="A277" s="412"/>
      <c r="B277" s="412"/>
      <c r="C277" s="412" t="str">
        <f>'Templ-Mats'!B179</f>
        <v>AF127</v>
      </c>
      <c r="D277" s="412" t="str">
        <f>'Templ-Mats'!C179</f>
        <v>Softwood - 19mm</v>
      </c>
      <c r="E277" s="412"/>
      <c r="F277" s="418">
        <f t="shared" si="11"/>
        <v>0.14728682170542634</v>
      </c>
      <c r="G277" s="412">
        <f>'Templ-Mats'!J179</f>
        <v>0.129</v>
      </c>
      <c r="H277" s="412">
        <f>'Templ-Mats'!G179</f>
        <v>19</v>
      </c>
      <c r="I277" s="412" t="str">
        <f>IF('Templ-Cons'!L204="","",'Templ-Cons'!L204)</f>
        <v/>
      </c>
      <c r="J277" s="412" t="str">
        <f>IF('Templ-Cons'!F204="","",'Templ-Cons'!F204)</f>
        <v/>
      </c>
      <c r="K277" s="412" t="str">
        <f>IF('Templ-Cons'!H204="","",'Templ-Cons'!H204)</f>
        <v/>
      </c>
      <c r="L277" s="412" t="str">
        <f>IF('Templ-Cons'!G204="","",'Templ-Cons'!G204)</f>
        <v/>
      </c>
      <c r="M277" s="412" t="str">
        <f>IF('Templ-Cons'!H204="","",'Templ-Cons'!H204)</f>
        <v/>
      </c>
      <c r="N277" s="412" t="str">
        <f>IF('Templ-Cons'!I204="","",'Templ-Cons'!I204)</f>
        <v/>
      </c>
      <c r="O277" s="412"/>
      <c r="P277" s="412"/>
      <c r="Q277" s="412"/>
      <c r="R277" s="412"/>
      <c r="S277" s="412"/>
      <c r="T277" s="412"/>
      <c r="U277" s="412"/>
      <c r="V277" s="412"/>
      <c r="W277" s="412"/>
      <c r="X277" s="412"/>
      <c r="Y277" s="412"/>
      <c r="Z277" s="412"/>
      <c r="AA277" s="412"/>
      <c r="AB277" s="412"/>
      <c r="AC277" s="412"/>
      <c r="AD277" s="412"/>
    </row>
    <row r="278" spans="1:30">
      <c r="A278" s="412"/>
      <c r="B278" s="412"/>
      <c r="C278" s="412" t="str">
        <f>'Templ-Mats'!B180</f>
        <v>AF128</v>
      </c>
      <c r="D278" s="412" t="str">
        <f>'Templ-Mats'!C180</f>
        <v>Softwood - 25mm</v>
      </c>
      <c r="E278" s="412"/>
      <c r="F278" s="418">
        <f t="shared" si="11"/>
        <v>0.19379844961240311</v>
      </c>
      <c r="G278" s="412">
        <f>'Templ-Mats'!J180</f>
        <v>0.129</v>
      </c>
      <c r="H278" s="412">
        <f>'Templ-Mats'!G180</f>
        <v>25</v>
      </c>
      <c r="I278" s="412" t="str">
        <f>IF('Templ-Cons'!L205="","",'Templ-Cons'!L205)</f>
        <v/>
      </c>
      <c r="J278" s="412" t="str">
        <f>IF('Templ-Cons'!F205="","",'Templ-Cons'!F205)</f>
        <v/>
      </c>
      <c r="K278" s="412" t="str">
        <f>IF('Templ-Cons'!H205="","",'Templ-Cons'!H205)</f>
        <v/>
      </c>
      <c r="L278" s="412" t="str">
        <f>IF('Templ-Cons'!G205="","",'Templ-Cons'!G205)</f>
        <v/>
      </c>
      <c r="M278" s="412" t="str">
        <f>IF('Templ-Cons'!H205="","",'Templ-Cons'!H205)</f>
        <v/>
      </c>
      <c r="N278" s="412" t="str">
        <f>IF('Templ-Cons'!I205="","",'Templ-Cons'!I205)</f>
        <v/>
      </c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412"/>
      <c r="Z278" s="412"/>
      <c r="AA278" s="412"/>
      <c r="AB278" s="412"/>
      <c r="AC278" s="412"/>
      <c r="AD278" s="412"/>
    </row>
    <row r="279" spans="1:30">
      <c r="A279" s="412"/>
      <c r="B279" s="412"/>
      <c r="C279" s="412" t="str">
        <f>'Templ-Mats'!B181</f>
        <v>AF129</v>
      </c>
      <c r="D279" s="412" t="str">
        <f>'Templ-Mats'!C181</f>
        <v>Southern Pine - 25mm</v>
      </c>
      <c r="E279" s="412"/>
      <c r="F279" s="418">
        <f t="shared" si="11"/>
        <v>0.16339869281045752</v>
      </c>
      <c r="G279" s="412">
        <f>'Templ-Mats'!J181</f>
        <v>0.153</v>
      </c>
      <c r="H279" s="412">
        <f>'Templ-Mats'!G181</f>
        <v>25</v>
      </c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412"/>
      <c r="AA279" s="412"/>
      <c r="AB279" s="412"/>
      <c r="AC279" s="412"/>
      <c r="AD279" s="412"/>
    </row>
    <row r="280" spans="1:30">
      <c r="A280" s="412"/>
      <c r="B280" s="412"/>
      <c r="C280" s="412" t="str">
        <f>'Templ-Mats'!B182</f>
        <v>AF130</v>
      </c>
      <c r="D280" s="412" t="str">
        <f>'Templ-Mats'!C182</f>
        <v>Douglas Fir-Larch - 25mm</v>
      </c>
      <c r="E280" s="412"/>
      <c r="F280" s="418">
        <f t="shared" si="11"/>
        <v>0.17730496453900713</v>
      </c>
      <c r="G280" s="412">
        <f>'Templ-Mats'!J182</f>
        <v>0.14099999999999999</v>
      </c>
      <c r="H280" s="412">
        <f>'Templ-Mats'!G182</f>
        <v>25</v>
      </c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412"/>
      <c r="AA280" s="412"/>
      <c r="AB280" s="412"/>
      <c r="AC280" s="412"/>
      <c r="AD280" s="412"/>
    </row>
    <row r="281" spans="1:30">
      <c r="A281" s="412"/>
      <c r="B281" s="412"/>
      <c r="C281" s="412" t="str">
        <f>'Templ-Mats'!B183</f>
        <v>AF131</v>
      </c>
      <c r="D281" s="412" t="str">
        <f>'Templ-Mats'!C183</f>
        <v>Southern Cypress - 25mm</v>
      </c>
      <c r="E281" s="412"/>
      <c r="F281" s="418">
        <f t="shared" si="11"/>
        <v>0.19083969465648856</v>
      </c>
      <c r="G281" s="412">
        <f>'Templ-Mats'!J183</f>
        <v>0.13100000000000001</v>
      </c>
      <c r="H281" s="412">
        <f>'Templ-Mats'!G183</f>
        <v>25</v>
      </c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412"/>
      <c r="Z281" s="412"/>
      <c r="AA281" s="412"/>
      <c r="AB281" s="412"/>
      <c r="AC281" s="412"/>
      <c r="AD281" s="412"/>
    </row>
    <row r="282" spans="1:30">
      <c r="A282" s="412"/>
      <c r="B282" s="412"/>
      <c r="C282" s="412" t="str">
        <f>'Templ-Mats'!B184</f>
        <v>AF132</v>
      </c>
      <c r="D282" s="412" t="str">
        <f>'Templ-Mats'!C184</f>
        <v>Hem-Fir - Spruce-Pine-Fir - 25mm</v>
      </c>
      <c r="E282" s="412"/>
      <c r="F282" s="418">
        <f t="shared" si="11"/>
        <v>0.21008403361344541</v>
      </c>
      <c r="G282" s="412">
        <f>'Templ-Mats'!J184</f>
        <v>0.11899999999999999</v>
      </c>
      <c r="H282" s="412">
        <f>'Templ-Mats'!G184</f>
        <v>25</v>
      </c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412"/>
      <c r="Z282" s="412"/>
      <c r="AA282" s="412"/>
      <c r="AB282" s="412"/>
      <c r="AC282" s="412"/>
      <c r="AD282" s="412"/>
    </row>
    <row r="283" spans="1:30">
      <c r="A283" s="412"/>
      <c r="B283" s="412"/>
      <c r="C283" s="412" t="str">
        <f>'Templ-Mats'!B185</f>
        <v>AF133</v>
      </c>
      <c r="D283" s="412" t="str">
        <f>'Templ-Mats'!C185</f>
        <v>West Coast Woods - Cedars - 25mm</v>
      </c>
      <c r="E283" s="412"/>
      <c r="F283" s="418">
        <f t="shared" si="11"/>
        <v>0.2192982456140351</v>
      </c>
      <c r="G283" s="412">
        <f>'Templ-Mats'!J185</f>
        <v>0.114</v>
      </c>
      <c r="H283" s="412">
        <f>'Templ-Mats'!G185</f>
        <v>25</v>
      </c>
      <c r="I283" s="412"/>
      <c r="J283" s="412"/>
      <c r="K283" s="412"/>
      <c r="L283" s="412"/>
      <c r="M283" s="412"/>
      <c r="N283" s="412"/>
      <c r="O283" s="412"/>
      <c r="P283" s="412"/>
      <c r="Q283" s="412"/>
      <c r="R283" s="412"/>
      <c r="S283" s="412"/>
      <c r="T283" s="412"/>
      <c r="U283" s="412"/>
      <c r="V283" s="412"/>
      <c r="W283" s="412"/>
      <c r="X283" s="412"/>
      <c r="Y283" s="412"/>
      <c r="Z283" s="412"/>
      <c r="AA283" s="412"/>
      <c r="AB283" s="412"/>
      <c r="AC283" s="412"/>
      <c r="AD283" s="412"/>
    </row>
    <row r="284" spans="1:30">
      <c r="A284" s="412"/>
      <c r="B284" s="412"/>
      <c r="C284" s="412" t="str">
        <f>'Templ-Mats'!B186</f>
        <v>AF134</v>
      </c>
      <c r="D284" s="412" t="str">
        <f>'Templ-Mats'!C186</f>
        <v>California Redwood - 25mm</v>
      </c>
      <c r="E284" s="412"/>
      <c r="F284" s="418">
        <f t="shared" si="11"/>
        <v>0.22123893805309736</v>
      </c>
      <c r="G284" s="412">
        <f>'Templ-Mats'!J186</f>
        <v>0.113</v>
      </c>
      <c r="H284" s="412">
        <f>'Templ-Mats'!G186</f>
        <v>25</v>
      </c>
      <c r="I284" s="412"/>
      <c r="J284" s="412"/>
      <c r="K284" s="412"/>
      <c r="L284" s="412"/>
      <c r="M284" s="412"/>
      <c r="N284" s="412"/>
      <c r="O284" s="412"/>
      <c r="P284" s="412"/>
      <c r="Q284" s="412"/>
      <c r="R284" s="412"/>
      <c r="S284" s="412"/>
      <c r="T284" s="412"/>
      <c r="U284" s="412"/>
      <c r="V284" s="412"/>
      <c r="W284" s="412"/>
      <c r="X284" s="412"/>
      <c r="Y284" s="412"/>
      <c r="Z284" s="412"/>
      <c r="AA284" s="412"/>
      <c r="AB284" s="412"/>
      <c r="AC284" s="412"/>
      <c r="AD284" s="412"/>
    </row>
    <row r="285" spans="1:30">
      <c r="A285" s="412"/>
      <c r="B285" s="412"/>
      <c r="C285" s="412" t="str">
        <f>'Templ-Mats'!B187</f>
        <v>AF135</v>
      </c>
      <c r="D285" s="412" t="str">
        <f>'Templ-Mats'!C187</f>
        <v>Concrete Block: Limestone Aggregrate: 200mm - 16.3 kg - 2 cores</v>
      </c>
      <c r="E285" s="412"/>
      <c r="F285" s="418">
        <f t="shared" si="11"/>
        <v>0.1769911504424779</v>
      </c>
      <c r="G285" s="412">
        <f>'Templ-Mats'!J187</f>
        <v>1.1299999999999999</v>
      </c>
      <c r="H285" s="412">
        <f>'Templ-Mats'!G187</f>
        <v>200</v>
      </c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412"/>
      <c r="AA285" s="412"/>
      <c r="AB285" s="412"/>
      <c r="AC285" s="412"/>
      <c r="AD285" s="412"/>
    </row>
    <row r="286" spans="1:30">
      <c r="A286" s="412"/>
      <c r="B286" s="412"/>
      <c r="C286" s="412" t="str">
        <f>'Templ-Mats'!B188</f>
        <v>AF136</v>
      </c>
      <c r="D286" s="412" t="str">
        <f>'Templ-Mats'!C188</f>
        <v>Concrete Block: Limestone Aggregrate: 200mm - 16.3 kg - 2 cores</v>
      </c>
      <c r="E286" s="412"/>
      <c r="F286" s="418">
        <f t="shared" si="11"/>
        <v>0.1769911504424779</v>
      </c>
      <c r="G286" s="412">
        <f>'Templ-Mats'!J188</f>
        <v>1.1299999999999999</v>
      </c>
      <c r="H286" s="412">
        <f>'Templ-Mats'!G188</f>
        <v>200</v>
      </c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412"/>
      <c r="AA286" s="412"/>
      <c r="AB286" s="412"/>
      <c r="AC286" s="412"/>
      <c r="AD286" s="412"/>
    </row>
    <row r="287" spans="1:30">
      <c r="A287" s="412"/>
      <c r="B287" s="412"/>
      <c r="C287" s="412" t="str">
        <f>'Templ-Mats'!B189</f>
        <v>AF137</v>
      </c>
      <c r="D287" s="412" t="str">
        <f>'Templ-Mats'!C189</f>
        <v>Concrete Block: Limestone Aggregrate: 200mm - 16.3 kg - 2 cores - perlite filled cores</v>
      </c>
      <c r="E287" s="412"/>
      <c r="F287" s="418">
        <f t="shared" si="11"/>
        <v>0.1769911504424779</v>
      </c>
      <c r="G287" s="412">
        <f>'Templ-Mats'!J189</f>
        <v>1.1299999999999999</v>
      </c>
      <c r="H287" s="412">
        <f>'Templ-Mats'!G189</f>
        <v>200</v>
      </c>
      <c r="I287" s="412"/>
      <c r="J287" s="412"/>
      <c r="K287" s="412"/>
      <c r="L287" s="412"/>
      <c r="M287" s="412"/>
      <c r="N287" s="412"/>
      <c r="O287" s="412"/>
      <c r="P287" s="412"/>
      <c r="Q287" s="412"/>
      <c r="R287" s="412"/>
      <c r="S287" s="412"/>
      <c r="T287" s="412"/>
      <c r="U287" s="412"/>
      <c r="V287" s="412"/>
      <c r="W287" s="412"/>
      <c r="X287" s="412"/>
      <c r="Y287" s="412"/>
      <c r="Z287" s="412"/>
      <c r="AA287" s="412"/>
      <c r="AB287" s="412"/>
      <c r="AC287" s="412"/>
      <c r="AD287" s="412"/>
    </row>
    <row r="288" spans="1:30">
      <c r="A288" s="412"/>
      <c r="B288" s="412"/>
      <c r="C288" s="412" t="str">
        <f>'Templ-Mats'!B190</f>
        <v>AF138</v>
      </c>
      <c r="D288" s="412" t="str">
        <f>'Templ-Mats'!C190</f>
        <v>Concrete Block: Limestone Aggregrate: 300mm - 25 kg - 2 cores</v>
      </c>
      <c r="E288" s="412"/>
      <c r="F288" s="418">
        <f t="shared" si="11"/>
        <v>0.26548672566371684</v>
      </c>
      <c r="G288" s="412">
        <f>'Templ-Mats'!J190</f>
        <v>1.1299999999999999</v>
      </c>
      <c r="H288" s="412">
        <f>'Templ-Mats'!G190</f>
        <v>300</v>
      </c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412"/>
      <c r="Z288" s="412"/>
      <c r="AA288" s="412"/>
      <c r="AB288" s="412"/>
      <c r="AC288" s="412"/>
      <c r="AD288" s="412"/>
    </row>
    <row r="289" spans="1:30">
      <c r="A289" s="412"/>
      <c r="B289" s="412"/>
      <c r="C289" s="412" t="str">
        <f>'Templ-Mats'!B191</f>
        <v>AF139</v>
      </c>
      <c r="D289" s="412" t="str">
        <f>'Templ-Mats'!C191</f>
        <v>Concrete Block: Limestone Aggregrate: 300mm - 25 kg - 2 cores - perlite filled cores</v>
      </c>
      <c r="E289" s="412"/>
      <c r="F289" s="418">
        <f t="shared" si="11"/>
        <v>0.26548672566371684</v>
      </c>
      <c r="G289" s="412">
        <f>'Templ-Mats'!J191</f>
        <v>1.1299999999999999</v>
      </c>
      <c r="H289" s="412">
        <f>'Templ-Mats'!G191</f>
        <v>300</v>
      </c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412"/>
      <c r="Z289" s="412"/>
      <c r="AA289" s="412"/>
      <c r="AB289" s="412"/>
      <c r="AC289" s="412"/>
      <c r="AD289" s="412"/>
    </row>
    <row r="290" spans="1:30">
      <c r="A290" s="412"/>
      <c r="B290" s="412"/>
      <c r="C290" s="412" t="str">
        <f>'Templ-Mats'!B192</f>
        <v>AF140</v>
      </c>
      <c r="D290" s="412" t="str">
        <f>'Templ-Mats'!C192</f>
        <v>Concrete Block: Sand and Gravel Aggregrate: 15-16 kg - 2 or 3 cores</v>
      </c>
      <c r="E290" s="412"/>
      <c r="F290" s="418">
        <f t="shared" si="11"/>
        <v>0.1769911504424779</v>
      </c>
      <c r="G290" s="412">
        <f>'Templ-Mats'!J192</f>
        <v>1.1299999999999999</v>
      </c>
      <c r="H290" s="412">
        <f>'Templ-Mats'!G192</f>
        <v>200</v>
      </c>
      <c r="I290" s="412"/>
      <c r="J290" s="412"/>
      <c r="K290" s="412"/>
      <c r="L290" s="412"/>
      <c r="M290" s="412"/>
      <c r="N290" s="412"/>
      <c r="O290" s="412"/>
      <c r="P290" s="412"/>
      <c r="Q290" s="412"/>
      <c r="R290" s="412"/>
      <c r="S290" s="412"/>
      <c r="T290" s="412"/>
      <c r="U290" s="412"/>
      <c r="V290" s="412"/>
      <c r="W290" s="412"/>
      <c r="X290" s="412"/>
      <c r="Y290" s="412"/>
      <c r="Z290" s="412"/>
      <c r="AA290" s="412"/>
      <c r="AB290" s="412"/>
      <c r="AC290" s="412"/>
      <c r="AD290" s="412"/>
    </row>
    <row r="291" spans="1:30">
      <c r="A291" s="412"/>
      <c r="B291" s="412"/>
      <c r="C291" s="412" t="str">
        <f>'Templ-Mats'!B193</f>
        <v>AF141</v>
      </c>
      <c r="D291" s="412" t="str">
        <f>'Templ-Mats'!C193</f>
        <v>Concrete Block: Sand and Gravel Aggregrate: 15-16 kg - 2 or 3 cores - perlite filled cores</v>
      </c>
      <c r="E291" s="412"/>
      <c r="F291" s="418">
        <f t="shared" si="11"/>
        <v>0.1769911504424779</v>
      </c>
      <c r="G291" s="412">
        <f>'Templ-Mats'!J193</f>
        <v>1.1299999999999999</v>
      </c>
      <c r="H291" s="412">
        <f>'Templ-Mats'!G193</f>
        <v>200</v>
      </c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412"/>
      <c r="AA291" s="412"/>
      <c r="AB291" s="412"/>
      <c r="AC291" s="412"/>
      <c r="AD291" s="412"/>
    </row>
    <row r="292" spans="1:30">
      <c r="A292" s="412"/>
      <c r="B292" s="412"/>
      <c r="C292" s="412" t="str">
        <f>'Templ-Mats'!B194</f>
        <v>AF142</v>
      </c>
      <c r="D292" s="412" t="str">
        <f>'Templ-Mats'!C194</f>
        <v>Concrete Block: Sand and Gravel Aggregrate: 15-16 kg - 2 or 3 cores - vermiculite filled cores</v>
      </c>
      <c r="E292" s="412"/>
      <c r="F292" s="418">
        <f t="shared" si="11"/>
        <v>0.1769911504424779</v>
      </c>
      <c r="G292" s="412">
        <f>'Templ-Mats'!J194</f>
        <v>1.1299999999999999</v>
      </c>
      <c r="H292" s="412">
        <f>'Templ-Mats'!G194</f>
        <v>200</v>
      </c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412"/>
      <c r="AA292" s="412"/>
      <c r="AB292" s="412"/>
      <c r="AC292" s="412"/>
      <c r="AD292" s="412"/>
    </row>
    <row r="293" spans="1:30">
      <c r="A293" s="412"/>
      <c r="B293" s="412"/>
      <c r="C293" s="412" t="str">
        <f>'Templ-Mats'!B195</f>
        <v>AF143</v>
      </c>
      <c r="D293" s="412" t="str">
        <f>'Templ-Mats'!C195</f>
        <v>Concrete Block: Sand and Gravel Aggregrate: 22.7 kg - 2 cores</v>
      </c>
      <c r="E293" s="412"/>
      <c r="F293" s="418">
        <f t="shared" si="11"/>
        <v>0.26548672566371684</v>
      </c>
      <c r="G293" s="412">
        <f>'Templ-Mats'!J195</f>
        <v>1.1299999999999999</v>
      </c>
      <c r="H293" s="412">
        <f>'Templ-Mats'!G195</f>
        <v>300</v>
      </c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412"/>
      <c r="AA293" s="412"/>
      <c r="AB293" s="412"/>
      <c r="AC293" s="412"/>
      <c r="AD293" s="412"/>
    </row>
    <row r="294" spans="1:30">
      <c r="A294" s="412"/>
      <c r="B294" s="412"/>
      <c r="C294" s="412" t="str">
        <f>'Templ-Mats'!B196</f>
        <v>AF144</v>
      </c>
      <c r="D294" s="412" t="str">
        <f>'Templ-Mats'!C196</f>
        <v>Concrete Block: Medium Mass Aggregate: 2 or 3 cores</v>
      </c>
      <c r="E294" s="412"/>
      <c r="F294" s="418">
        <f t="shared" si="11"/>
        <v>0.26548672566371684</v>
      </c>
      <c r="G294" s="412">
        <f>'Templ-Mats'!J196</f>
        <v>1.1299999999999999</v>
      </c>
      <c r="H294" s="412">
        <f>'Templ-Mats'!G196</f>
        <v>300</v>
      </c>
      <c r="I294" s="412"/>
      <c r="J294" s="412"/>
      <c r="K294" s="412"/>
      <c r="L294" s="412"/>
      <c r="M294" s="412"/>
      <c r="N294" s="412"/>
      <c r="O294" s="412"/>
      <c r="P294" s="412"/>
      <c r="Q294" s="412"/>
      <c r="R294" s="412"/>
      <c r="S294" s="412"/>
      <c r="T294" s="412"/>
      <c r="U294" s="412"/>
      <c r="V294" s="412"/>
      <c r="W294" s="412"/>
      <c r="X294" s="412"/>
      <c r="Y294" s="412"/>
      <c r="Z294" s="412"/>
      <c r="AA294" s="412"/>
      <c r="AB294" s="412"/>
      <c r="AC294" s="412"/>
      <c r="AD294" s="412"/>
    </row>
    <row r="295" spans="1:30">
      <c r="A295" s="412"/>
      <c r="B295" s="412"/>
      <c r="C295" s="412" t="str">
        <f>'Templ-Mats'!B197</f>
        <v>AF145</v>
      </c>
      <c r="D295" s="412" t="str">
        <f>'Templ-Mats'!C197</f>
        <v>Concrete Block: Medium Mass Aggregate: 2 or 3 cores - perlite filled cores</v>
      </c>
      <c r="E295" s="412"/>
      <c r="F295" s="418">
        <f t="shared" si="11"/>
        <v>0.26548672566371684</v>
      </c>
      <c r="G295" s="412">
        <f>'Templ-Mats'!J197</f>
        <v>1.1299999999999999</v>
      </c>
      <c r="H295" s="412">
        <f>'Templ-Mats'!G197</f>
        <v>300</v>
      </c>
      <c r="I295" s="412"/>
      <c r="J295" s="412"/>
      <c r="K295" s="412"/>
      <c r="L295" s="412"/>
      <c r="M295" s="412"/>
      <c r="N295" s="412"/>
      <c r="O295" s="412"/>
      <c r="P295" s="412"/>
      <c r="Q295" s="412"/>
      <c r="R295" s="412"/>
      <c r="S295" s="412"/>
      <c r="T295" s="412"/>
      <c r="U295" s="412"/>
      <c r="V295" s="412"/>
      <c r="W295" s="412"/>
      <c r="X295" s="412"/>
      <c r="Y295" s="412"/>
      <c r="Z295" s="412"/>
      <c r="AA295" s="412"/>
      <c r="AB295" s="412"/>
      <c r="AC295" s="412"/>
      <c r="AD295" s="412"/>
    </row>
    <row r="296" spans="1:30">
      <c r="A296" s="412"/>
      <c r="B296" s="412"/>
      <c r="C296" s="412" t="str">
        <f>'Templ-Mats'!B198</f>
        <v>AF146</v>
      </c>
      <c r="D296" s="412" t="str">
        <f>'Templ-Mats'!C198</f>
        <v>Concrete Block: Medium Mass Aggregate: 2 or 3 cores - vermiculite filled cores</v>
      </c>
      <c r="E296" s="412"/>
      <c r="F296" s="418">
        <f t="shared" si="11"/>
        <v>0.26548672566371684</v>
      </c>
      <c r="G296" s="412">
        <f>'Templ-Mats'!J198</f>
        <v>1.1299999999999999</v>
      </c>
      <c r="H296" s="412">
        <f>'Templ-Mats'!G198</f>
        <v>300</v>
      </c>
      <c r="I296" s="412"/>
      <c r="J296" s="412"/>
      <c r="K296" s="412"/>
      <c r="L296" s="412"/>
      <c r="M296" s="412"/>
      <c r="N296" s="412"/>
      <c r="O296" s="412"/>
      <c r="P296" s="412"/>
      <c r="Q296" s="412"/>
      <c r="R296" s="412"/>
      <c r="S296" s="412"/>
      <c r="T296" s="412"/>
      <c r="U296" s="412"/>
      <c r="V296" s="412"/>
      <c r="W296" s="412"/>
      <c r="X296" s="412"/>
      <c r="Y296" s="412"/>
      <c r="Z296" s="412"/>
      <c r="AA296" s="412"/>
      <c r="AB296" s="412"/>
      <c r="AC296" s="412"/>
      <c r="AD296" s="412"/>
    </row>
    <row r="297" spans="1:30">
      <c r="A297" s="412"/>
      <c r="B297" s="412"/>
      <c r="C297" s="412" t="str">
        <f>'Templ-Mats'!B199</f>
        <v>AF147</v>
      </c>
      <c r="D297" s="412" t="str">
        <f>'Templ-Mats'!C199</f>
        <v>Concrete Block: Medium Mass Aggregate: 2 or 3 cores - molded EPS (beads) filled cores</v>
      </c>
      <c r="E297" s="412"/>
      <c r="F297" s="418">
        <f t="shared" ref="F297:F308" si="12">(H297/1000)/G297</f>
        <v>0.26548672566371684</v>
      </c>
      <c r="G297" s="412">
        <f>'Templ-Mats'!J199</f>
        <v>1.1299999999999999</v>
      </c>
      <c r="H297" s="412">
        <f>'Templ-Mats'!G199</f>
        <v>300</v>
      </c>
      <c r="I297" s="412"/>
      <c r="J297" s="412"/>
      <c r="K297" s="412"/>
      <c r="L297" s="412"/>
      <c r="M297" s="412"/>
      <c r="N297" s="412"/>
      <c r="O297" s="412"/>
      <c r="P297" s="412"/>
      <c r="Q297" s="412"/>
      <c r="R297" s="412"/>
      <c r="S297" s="412"/>
      <c r="T297" s="412"/>
      <c r="U297" s="412"/>
      <c r="V297" s="412"/>
      <c r="W297" s="412"/>
      <c r="X297" s="412"/>
      <c r="Y297" s="412"/>
      <c r="Z297" s="412"/>
      <c r="AA297" s="412"/>
      <c r="AB297" s="412"/>
      <c r="AC297" s="412"/>
      <c r="AD297" s="412"/>
    </row>
    <row r="298" spans="1:30">
      <c r="A298" s="412"/>
      <c r="B298" s="412"/>
      <c r="C298" s="412" t="str">
        <f>'Templ-Mats'!B200</f>
        <v>AF148</v>
      </c>
      <c r="D298" s="412" t="str">
        <f>'Templ-Mats'!C200</f>
        <v>Concrete Block: Medium Mass Aggregate: 2 or 3 cores - molded EPS inserts in cores</v>
      </c>
      <c r="E298" s="412"/>
      <c r="F298" s="418">
        <f t="shared" si="12"/>
        <v>0.26548672566371684</v>
      </c>
      <c r="G298" s="412">
        <f>'Templ-Mats'!J200</f>
        <v>1.1299999999999999</v>
      </c>
      <c r="H298" s="412">
        <f>'Templ-Mats'!G200</f>
        <v>300</v>
      </c>
      <c r="I298" s="412"/>
      <c r="J298" s="412"/>
      <c r="K298" s="412"/>
      <c r="L298" s="412"/>
      <c r="M298" s="412"/>
      <c r="N298" s="412"/>
      <c r="O298" s="412"/>
      <c r="P298" s="412"/>
      <c r="Q298" s="412"/>
      <c r="R298" s="412"/>
      <c r="S298" s="412"/>
      <c r="T298" s="412"/>
      <c r="U298" s="412"/>
      <c r="V298" s="412"/>
      <c r="W298" s="412"/>
      <c r="X298" s="412"/>
      <c r="Y298" s="412"/>
      <c r="Z298" s="412"/>
      <c r="AA298" s="412"/>
      <c r="AB298" s="412"/>
      <c r="AC298" s="412"/>
      <c r="AD298" s="412"/>
    </row>
    <row r="299" spans="1:30">
      <c r="A299" s="412"/>
      <c r="B299" s="412"/>
      <c r="C299" s="412" t="str">
        <f>'Templ-Mats'!B201</f>
        <v>AF149</v>
      </c>
      <c r="D299" s="412" t="str">
        <f>'Templ-Mats'!C201</f>
        <v>Concrete Block: Low Mass Aggregate: 7.3-7.7 kg - 2 or 3 cores</v>
      </c>
      <c r="E299" s="412"/>
      <c r="F299" s="418">
        <f t="shared" si="12"/>
        <v>0.45454545454545453</v>
      </c>
      <c r="G299" s="412">
        <f>'Templ-Mats'!J201</f>
        <v>0.33</v>
      </c>
      <c r="H299" s="412">
        <f>'Templ-Mats'!G201</f>
        <v>150</v>
      </c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412"/>
      <c r="Z299" s="412"/>
      <c r="AA299" s="412"/>
      <c r="AB299" s="412"/>
      <c r="AC299" s="412"/>
      <c r="AD299" s="412"/>
    </row>
    <row r="300" spans="1:30">
      <c r="A300" s="412"/>
      <c r="B300" s="412"/>
      <c r="C300" s="412" t="str">
        <f>'Templ-Mats'!B202</f>
        <v>AF150</v>
      </c>
      <c r="D300" s="412" t="str">
        <f>'Templ-Mats'!C202</f>
        <v>Concrete Block: Low Mass Aggregate: 7.3-7.7 kg - 2 or 3 cores - perlite filled cores</v>
      </c>
      <c r="E300" s="412"/>
      <c r="F300" s="418">
        <f t="shared" si="12"/>
        <v>0.45454545454545453</v>
      </c>
      <c r="G300" s="412">
        <f>'Templ-Mats'!J202</f>
        <v>0.33</v>
      </c>
      <c r="H300" s="412">
        <f>'Templ-Mats'!G202</f>
        <v>150</v>
      </c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412"/>
      <c r="Z300" s="412"/>
      <c r="AA300" s="412"/>
      <c r="AB300" s="412"/>
      <c r="AC300" s="412"/>
      <c r="AD300" s="412"/>
    </row>
    <row r="301" spans="1:30">
      <c r="A301" s="412"/>
      <c r="B301" s="412"/>
      <c r="C301" s="412" t="str">
        <f>'Templ-Mats'!B203</f>
        <v>AF151</v>
      </c>
      <c r="D301" s="412" t="str">
        <f>'Templ-Mats'!C203</f>
        <v>Concrete Block: Low Mass Aggregate: 8.6-10.0 kg</v>
      </c>
      <c r="E301" s="412"/>
      <c r="F301" s="418">
        <f t="shared" si="12"/>
        <v>0.60606060606060608</v>
      </c>
      <c r="G301" s="412">
        <f>'Templ-Mats'!J203</f>
        <v>0.33</v>
      </c>
      <c r="H301" s="412">
        <f>'Templ-Mats'!G203</f>
        <v>200</v>
      </c>
      <c r="I301" s="412"/>
      <c r="J301" s="412"/>
      <c r="K301" s="412"/>
      <c r="L301" s="412"/>
      <c r="M301" s="412"/>
      <c r="N301" s="412"/>
      <c r="O301" s="412"/>
      <c r="P301" s="412"/>
      <c r="Q301" s="412"/>
      <c r="R301" s="412"/>
      <c r="S301" s="412"/>
      <c r="T301" s="412"/>
      <c r="U301" s="412"/>
      <c r="V301" s="412"/>
      <c r="W301" s="412"/>
      <c r="X301" s="412"/>
      <c r="Y301" s="412"/>
      <c r="Z301" s="412"/>
      <c r="AA301" s="412"/>
      <c r="AB301" s="412"/>
      <c r="AC301" s="412"/>
      <c r="AD301" s="412"/>
    </row>
    <row r="302" spans="1:30">
      <c r="A302" s="412"/>
      <c r="B302" s="412"/>
      <c r="C302" s="412" t="str">
        <f>'Templ-Mats'!B204</f>
        <v>AF152</v>
      </c>
      <c r="D302" s="412" t="str">
        <f>'Templ-Mats'!C204</f>
        <v>Concrete Block: Low Mass Aggregate: 8.6-10.0 kg - perlite filled cores</v>
      </c>
      <c r="E302" s="412"/>
      <c r="F302" s="418">
        <f t="shared" si="12"/>
        <v>0.60606060606060608</v>
      </c>
      <c r="G302" s="412">
        <f>'Templ-Mats'!J204</f>
        <v>0.33</v>
      </c>
      <c r="H302" s="412">
        <f>'Templ-Mats'!G204</f>
        <v>200</v>
      </c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412"/>
      <c r="AA302" s="412"/>
      <c r="AB302" s="412"/>
      <c r="AC302" s="412"/>
      <c r="AD302" s="412"/>
    </row>
    <row r="303" spans="1:30">
      <c r="A303" s="412"/>
      <c r="B303" s="412"/>
      <c r="C303" s="412" t="str">
        <f>'Templ-Mats'!B205</f>
        <v>AF153</v>
      </c>
      <c r="D303" s="412" t="str">
        <f>'Templ-Mats'!C205</f>
        <v>Concrete Block: Low Mass Aggregate: 8.6-10.0 kg - vermiculite filled cores</v>
      </c>
      <c r="E303" s="412"/>
      <c r="F303" s="418">
        <f t="shared" si="12"/>
        <v>0.60606060606060608</v>
      </c>
      <c r="G303" s="412">
        <f>'Templ-Mats'!J205</f>
        <v>0.33</v>
      </c>
      <c r="H303" s="412">
        <f>'Templ-Mats'!G205</f>
        <v>200</v>
      </c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412"/>
      <c r="AA303" s="412"/>
      <c r="AB303" s="412"/>
      <c r="AC303" s="412"/>
      <c r="AD303" s="412"/>
    </row>
    <row r="304" spans="1:30">
      <c r="A304" s="412"/>
      <c r="B304" s="412"/>
      <c r="C304" s="412" t="str">
        <f>'Templ-Mats'!B206</f>
        <v>AF154</v>
      </c>
      <c r="D304" s="412" t="str">
        <f>'Templ-Mats'!C206</f>
        <v>Concrete Block: Low Mass Aggregate: 8.6-10.0 kg - molded EPS (beads) filled cores</v>
      </c>
      <c r="E304" s="412"/>
      <c r="F304" s="418">
        <f t="shared" si="12"/>
        <v>0.60606060606060608</v>
      </c>
      <c r="G304" s="412">
        <f>'Templ-Mats'!J206</f>
        <v>0.33</v>
      </c>
      <c r="H304" s="412">
        <f>'Templ-Mats'!G206</f>
        <v>200</v>
      </c>
      <c r="I304" s="412"/>
      <c r="J304" s="412"/>
      <c r="K304" s="412"/>
      <c r="L304" s="412"/>
      <c r="M304" s="412"/>
      <c r="N304" s="412"/>
      <c r="O304" s="412"/>
      <c r="P304" s="412"/>
      <c r="Q304" s="412"/>
      <c r="R304" s="412"/>
      <c r="S304" s="412"/>
      <c r="T304" s="412"/>
      <c r="U304" s="412"/>
      <c r="V304" s="412"/>
      <c r="W304" s="412"/>
      <c r="X304" s="412"/>
      <c r="Y304" s="412"/>
      <c r="Z304" s="412"/>
      <c r="AA304" s="412"/>
      <c r="AB304" s="412"/>
      <c r="AC304" s="412"/>
      <c r="AD304" s="412"/>
    </row>
    <row r="305" spans="1:30">
      <c r="A305" s="412"/>
      <c r="B305" s="412"/>
      <c r="C305" s="412" t="str">
        <f>'Templ-Mats'!B207</f>
        <v>AF155</v>
      </c>
      <c r="D305" s="412" t="str">
        <f>'Templ-Mats'!C207</f>
        <v>Concrete Block: Low Mass Aggregate: 8.6-10.0 kg - UF foam filled cores</v>
      </c>
      <c r="E305" s="412"/>
      <c r="F305" s="418">
        <f t="shared" si="12"/>
        <v>0.60606060606060608</v>
      </c>
      <c r="G305" s="412">
        <f>'Templ-Mats'!J207</f>
        <v>0.33</v>
      </c>
      <c r="H305" s="412">
        <f>'Templ-Mats'!G207</f>
        <v>200</v>
      </c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412"/>
      <c r="Z305" s="412"/>
      <c r="AA305" s="412"/>
      <c r="AB305" s="412"/>
      <c r="AC305" s="412"/>
      <c r="AD305" s="412"/>
    </row>
    <row r="306" spans="1:30">
      <c r="A306" s="412"/>
      <c r="B306" s="412"/>
      <c r="C306" s="412" t="str">
        <f>'Templ-Mats'!B208</f>
        <v>AF156</v>
      </c>
      <c r="D306" s="412" t="str">
        <f>'Templ-Mats'!C208</f>
        <v>Concrete Block: Low Mass Aggregate: 8.6-10.0 kg - molded EPS inserts in cores</v>
      </c>
      <c r="E306" s="412"/>
      <c r="F306" s="418">
        <f t="shared" si="12"/>
        <v>0.60606060606060608</v>
      </c>
      <c r="G306" s="412">
        <f>'Templ-Mats'!J208</f>
        <v>0.33</v>
      </c>
      <c r="H306" s="412">
        <f>'Templ-Mats'!G208</f>
        <v>200</v>
      </c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412"/>
      <c r="Z306" s="412"/>
      <c r="AA306" s="412"/>
      <c r="AB306" s="412"/>
      <c r="AC306" s="412"/>
      <c r="AD306" s="412"/>
    </row>
    <row r="307" spans="1:30">
      <c r="A307" s="412"/>
      <c r="B307" s="412"/>
      <c r="C307" s="412" t="str">
        <f>'Templ-Mats'!B209</f>
        <v>AF157</v>
      </c>
      <c r="D307" s="412" t="str">
        <f>'Templ-Mats'!C209</f>
        <v>Concrete Block: Low Mass Aggregate: 14.5-16.3 kg - 2 or 3 cores</v>
      </c>
      <c r="E307" s="412"/>
      <c r="F307" s="418">
        <f t="shared" si="12"/>
        <v>0.90909090909090906</v>
      </c>
      <c r="G307" s="412">
        <f>'Templ-Mats'!J209</f>
        <v>0.33</v>
      </c>
      <c r="H307" s="412">
        <f>'Templ-Mats'!G209</f>
        <v>300</v>
      </c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412"/>
      <c r="AA307" s="412"/>
      <c r="AB307" s="412"/>
      <c r="AC307" s="412"/>
      <c r="AD307" s="412"/>
    </row>
    <row r="308" spans="1:30">
      <c r="A308" s="412"/>
      <c r="B308" s="412"/>
      <c r="C308" s="412" t="str">
        <f>'Templ-Mats'!B210</f>
        <v>AF158</v>
      </c>
      <c r="D308" s="412" t="str">
        <f>'Templ-Mats'!C210</f>
        <v>Concrete Block: Low Mass Aggregate: 14.5-16.3 kg - 2 or 3 cores - perlite filled cores</v>
      </c>
      <c r="E308" s="412"/>
      <c r="F308" s="418">
        <f t="shared" si="12"/>
        <v>0.90909090909090906</v>
      </c>
      <c r="G308" s="412">
        <f>'Templ-Mats'!J210</f>
        <v>0.33</v>
      </c>
      <c r="H308" s="412">
        <f>'Templ-Mats'!G210</f>
        <v>300</v>
      </c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412"/>
      <c r="AA308" s="412"/>
      <c r="AB308" s="412"/>
      <c r="AC308" s="412"/>
      <c r="AD308" s="412"/>
    </row>
    <row r="309" spans="1:30">
      <c r="A309" s="412"/>
      <c r="B309" s="412"/>
      <c r="C309" s="412" t="str">
        <f>'Templ-Mats'!B211</f>
        <v>AF159</v>
      </c>
      <c r="D309" s="412" t="str">
        <f>'Templ-Mats'!C211</f>
        <v>Concrete Block: Low Mass Aggregate: 14.5-16.3 kg - 2 or 3 cores - vermiculite filled cores</v>
      </c>
      <c r="E309" s="412"/>
      <c r="F309" s="418">
        <f t="shared" ref="F309:F341" si="13">1/K309*(J309)</f>
        <v>0.10215053763440859</v>
      </c>
      <c r="G309" s="412">
        <f>'Templ-Mats'!J211</f>
        <v>0.33</v>
      </c>
      <c r="H309" s="412">
        <f>'Templ-Mats'!G275</f>
        <v>0</v>
      </c>
      <c r="I309" s="412" t="s">
        <v>633</v>
      </c>
      <c r="J309" s="412">
        <v>1.9E-2</v>
      </c>
      <c r="K309" s="412">
        <v>0.186</v>
      </c>
      <c r="L309" s="412">
        <v>640</v>
      </c>
      <c r="M309" s="412">
        <v>1048</v>
      </c>
      <c r="N309" s="412">
        <v>0.9</v>
      </c>
      <c r="O309" s="412">
        <v>0.7</v>
      </c>
      <c r="P309" s="412">
        <v>0.7</v>
      </c>
      <c r="Q309" s="412"/>
      <c r="R309" s="412"/>
      <c r="S309" s="412"/>
      <c r="T309" s="412"/>
      <c r="U309" s="412"/>
      <c r="V309" s="412"/>
      <c r="W309" s="412"/>
      <c r="X309" s="412"/>
      <c r="Y309" s="412"/>
      <c r="Z309" s="412"/>
      <c r="AA309" s="412"/>
      <c r="AB309" s="412"/>
      <c r="AC309" s="412"/>
      <c r="AD309" s="412"/>
    </row>
    <row r="310" spans="1:30">
      <c r="A310" s="412"/>
      <c r="B310" s="412"/>
      <c r="C310" s="412" t="str">
        <f>'Templ-Mats'!B212</f>
        <v>C01a</v>
      </c>
      <c r="D310" s="412" t="str">
        <f>'Templ-Mats'!C212</f>
        <v>Composite 2x4 Wood Stud R11 #1</v>
      </c>
      <c r="E310" s="412"/>
      <c r="F310" s="418">
        <f t="shared" si="13"/>
        <v>1.6938775510204083</v>
      </c>
      <c r="G310" s="412">
        <f>'Templ-Mats'!J212</f>
        <v>0.186</v>
      </c>
      <c r="H310" s="412">
        <f>'Templ-Mats'!G212</f>
        <v>19</v>
      </c>
      <c r="I310" s="412" t="s">
        <v>633</v>
      </c>
      <c r="J310" s="412">
        <v>8.3000000000000004E-2</v>
      </c>
      <c r="K310" s="412">
        <v>4.9000000000000002E-2</v>
      </c>
      <c r="L310" s="412">
        <v>119.63</v>
      </c>
      <c r="M310" s="412">
        <v>1048</v>
      </c>
      <c r="N310" s="412">
        <v>0.9</v>
      </c>
      <c r="O310" s="412">
        <v>0.7</v>
      </c>
      <c r="P310" s="412">
        <v>0.7</v>
      </c>
      <c r="Q310" s="412"/>
      <c r="R310" s="412"/>
      <c r="S310" s="412"/>
      <c r="T310" s="412"/>
      <c r="U310" s="412"/>
      <c r="V310" s="412"/>
      <c r="W310" s="412"/>
      <c r="X310" s="412"/>
      <c r="Y310" s="412"/>
      <c r="Z310" s="412"/>
      <c r="AA310" s="412"/>
      <c r="AB310" s="412"/>
      <c r="AC310" s="412"/>
      <c r="AD310" s="412"/>
    </row>
    <row r="311" spans="1:30">
      <c r="A311" s="412"/>
      <c r="B311" s="412"/>
      <c r="C311" s="412" t="str">
        <f>'Templ-Mats'!B213</f>
        <v>C01b</v>
      </c>
      <c r="D311" s="412" t="str">
        <f>'Templ-Mats'!C213</f>
        <v>Composite 2x4 Wood Stud R11 #2</v>
      </c>
      <c r="E311" s="412"/>
      <c r="F311" s="418">
        <f t="shared" si="13"/>
        <v>0.20161290322580647</v>
      </c>
      <c r="G311" s="412">
        <f>'Templ-Mats'!J213</f>
        <v>4.9000000000000002E-2</v>
      </c>
      <c r="H311" s="412">
        <f>'Templ-Mats'!G213</f>
        <v>83</v>
      </c>
      <c r="I311" s="412" t="s">
        <v>633</v>
      </c>
      <c r="J311" s="412">
        <v>2.5000000000000001E-2</v>
      </c>
      <c r="K311" s="412">
        <v>0.124</v>
      </c>
      <c r="L311" s="412">
        <v>508.45</v>
      </c>
      <c r="M311" s="412">
        <v>1048</v>
      </c>
      <c r="N311" s="412">
        <v>0.9</v>
      </c>
      <c r="O311" s="412">
        <v>0.7</v>
      </c>
      <c r="P311" s="412">
        <v>0.7</v>
      </c>
      <c r="Q311" s="412"/>
      <c r="R311" s="412"/>
      <c r="S311" s="412"/>
      <c r="T311" s="412"/>
      <c r="U311" s="412"/>
      <c r="V311" s="412"/>
      <c r="W311" s="412"/>
      <c r="X311" s="412"/>
      <c r="Y311" s="412"/>
      <c r="Z311" s="412"/>
      <c r="AA311" s="412"/>
      <c r="AB311" s="412"/>
      <c r="AC311" s="412"/>
      <c r="AD311" s="412"/>
    </row>
    <row r="312" spans="1:30">
      <c r="A312" s="412"/>
      <c r="B312" s="412"/>
      <c r="C312" s="412" t="str">
        <f>'Templ-Mats'!B214</f>
        <v>C01c</v>
      </c>
      <c r="D312" s="412" t="str">
        <f>'Templ-Mats'!C214</f>
        <v>Composite 2x4 Wood Stud R11 #3</v>
      </c>
      <c r="E312" s="412"/>
      <c r="F312" s="418">
        <f t="shared" si="13"/>
        <v>0.13868613138686128</v>
      </c>
      <c r="G312" s="412">
        <f>'Templ-Mats'!J214</f>
        <v>0.124</v>
      </c>
      <c r="H312" s="412">
        <f>'Templ-Mats'!G214</f>
        <v>25</v>
      </c>
      <c r="I312" s="412" t="s">
        <v>633</v>
      </c>
      <c r="J312" s="412">
        <v>1.9E-2</v>
      </c>
      <c r="K312" s="412">
        <v>0.13700000000000001</v>
      </c>
      <c r="L312" s="412">
        <v>640</v>
      </c>
      <c r="M312" s="412">
        <v>1006</v>
      </c>
      <c r="N312" s="412">
        <v>0.9</v>
      </c>
      <c r="O312" s="412">
        <v>0.7</v>
      </c>
      <c r="P312" s="412">
        <v>0.7</v>
      </c>
      <c r="Q312" s="412"/>
      <c r="R312" s="412"/>
      <c r="S312" s="412"/>
      <c r="T312" s="412"/>
      <c r="U312" s="412"/>
      <c r="V312" s="412"/>
      <c r="W312" s="412"/>
      <c r="X312" s="412"/>
      <c r="Y312" s="412"/>
      <c r="Z312" s="412"/>
      <c r="AA312" s="412"/>
      <c r="AB312" s="412"/>
      <c r="AC312" s="412"/>
      <c r="AD312" s="412"/>
    </row>
    <row r="313" spans="1:30">
      <c r="A313" s="412"/>
      <c r="B313" s="412"/>
      <c r="C313" s="412" t="str">
        <f>'Templ-Mats'!B215</f>
        <v>C02a</v>
      </c>
      <c r="D313" s="412" t="str">
        <f>'Templ-Mats'!C215</f>
        <v>Composite 2x6 Wood Stud R19 #1</v>
      </c>
      <c r="E313" s="412"/>
      <c r="F313" s="418">
        <f t="shared" si="13"/>
        <v>2.8297872340425534</v>
      </c>
      <c r="G313" s="412">
        <f>'Templ-Mats'!J215</f>
        <v>0.13700000000000001</v>
      </c>
      <c r="H313" s="412">
        <f>'Templ-Mats'!G215</f>
        <v>19</v>
      </c>
      <c r="I313" s="412" t="s">
        <v>633</v>
      </c>
      <c r="J313" s="412">
        <v>0.13300000000000001</v>
      </c>
      <c r="K313" s="412">
        <v>4.7E-2</v>
      </c>
      <c r="L313" s="412">
        <v>93.84</v>
      </c>
      <c r="M313" s="412">
        <v>1006</v>
      </c>
      <c r="N313" s="412">
        <v>0.9</v>
      </c>
      <c r="O313" s="412">
        <v>0.7</v>
      </c>
      <c r="P313" s="412">
        <v>0.7</v>
      </c>
      <c r="Q313" s="412"/>
      <c r="R313" s="412"/>
      <c r="S313" s="412"/>
      <c r="T313" s="412"/>
      <c r="U313" s="412"/>
      <c r="V313" s="412"/>
      <c r="W313" s="412"/>
      <c r="X313" s="412"/>
      <c r="Y313" s="412"/>
      <c r="Z313" s="412"/>
      <c r="AA313" s="412"/>
      <c r="AB313" s="412"/>
      <c r="AC313" s="412"/>
      <c r="AD313" s="412"/>
    </row>
    <row r="314" spans="1:30">
      <c r="A314" s="412"/>
      <c r="B314" s="412"/>
      <c r="C314" s="412" t="str">
        <f>'Templ-Mats'!B216</f>
        <v>C02b</v>
      </c>
      <c r="D314" s="412" t="str">
        <f>'Templ-Mats'!C216</f>
        <v>Composite 2x6 Wood Stud R19 #2</v>
      </c>
      <c r="E314" s="412"/>
      <c r="F314" s="418">
        <f t="shared" si="13"/>
        <v>0.10162601626016261</v>
      </c>
      <c r="G314" s="412">
        <f>'Templ-Mats'!J216</f>
        <v>4.7E-2</v>
      </c>
      <c r="H314" s="412">
        <f>'Templ-Mats'!G216</f>
        <v>133</v>
      </c>
      <c r="I314" s="412" t="s">
        <v>633</v>
      </c>
      <c r="J314" s="412">
        <v>2.5000000000000001E-2</v>
      </c>
      <c r="K314" s="412">
        <v>0.246</v>
      </c>
      <c r="L314" s="412">
        <v>492.67</v>
      </c>
      <c r="M314" s="412">
        <v>1006</v>
      </c>
      <c r="N314" s="412">
        <v>0.9</v>
      </c>
      <c r="O314" s="412">
        <v>0.7</v>
      </c>
      <c r="P314" s="412">
        <v>0.7</v>
      </c>
      <c r="Q314" s="412"/>
      <c r="R314" s="412"/>
      <c r="S314" s="412"/>
      <c r="T314" s="412"/>
      <c r="U314" s="412"/>
      <c r="V314" s="412"/>
      <c r="W314" s="412"/>
      <c r="X314" s="412"/>
      <c r="Y314" s="412"/>
      <c r="Z314" s="412"/>
      <c r="AA314" s="412"/>
      <c r="AB314" s="412"/>
      <c r="AC314" s="412"/>
      <c r="AD314" s="412"/>
    </row>
    <row r="315" spans="1:30">
      <c r="A315" s="412"/>
      <c r="B315" s="412"/>
      <c r="C315" s="412" t="str">
        <f>'Templ-Mats'!B217</f>
        <v>C02c</v>
      </c>
      <c r="D315" s="412" t="str">
        <f>'Templ-Mats'!C217</f>
        <v>Composite 2x6 Wood Stud R19 #3</v>
      </c>
      <c r="E315" s="412"/>
      <c r="F315" s="418">
        <f t="shared" si="13"/>
        <v>1.1265822784810127</v>
      </c>
      <c r="G315" s="412">
        <f>'Templ-Mats'!J217</f>
        <v>0.246</v>
      </c>
      <c r="H315" s="412">
        <f>'Templ-Mats'!G217</f>
        <v>25</v>
      </c>
      <c r="I315" s="412" t="s">
        <v>646</v>
      </c>
      <c r="J315" s="412">
        <v>8.8999999999999996E-2</v>
      </c>
      <c r="K315" s="412">
        <v>7.9000000000000001E-2</v>
      </c>
      <c r="L315" s="412">
        <v>1110</v>
      </c>
      <c r="M315" s="412">
        <v>1048</v>
      </c>
      <c r="N315" s="412">
        <v>0.9</v>
      </c>
      <c r="O315" s="412">
        <v>0.7</v>
      </c>
      <c r="P315" s="412">
        <v>0.7</v>
      </c>
      <c r="Q315" s="412"/>
      <c r="R315" s="412"/>
      <c r="S315" s="412"/>
      <c r="T315" s="412"/>
      <c r="U315" s="412"/>
      <c r="V315" s="412"/>
      <c r="W315" s="412"/>
      <c r="X315" s="412"/>
      <c r="Y315" s="412"/>
      <c r="Z315" s="412"/>
      <c r="AA315" s="412"/>
      <c r="AB315" s="412"/>
      <c r="AC315" s="412"/>
      <c r="AD315" s="412"/>
    </row>
    <row r="316" spans="1:30">
      <c r="A316" s="412"/>
      <c r="B316" s="412"/>
      <c r="C316" s="412" t="str">
        <f>'Templ-Mats'!B218</f>
        <v>C03a</v>
      </c>
      <c r="D316" s="412" t="str">
        <f>'Templ-Mats'!C218</f>
        <v>Composite Insulated Concrete Form Wall With Steel Ties #1</v>
      </c>
      <c r="E316" s="412"/>
      <c r="F316" s="418">
        <f t="shared" si="13"/>
        <v>0.19038076152304606</v>
      </c>
      <c r="G316" s="412">
        <f>'Templ-Mats'!J218</f>
        <v>7.9000000000000001E-2</v>
      </c>
      <c r="H316" s="412">
        <f>'Templ-Mats'!G218</f>
        <v>89</v>
      </c>
      <c r="I316" s="412" t="s">
        <v>633</v>
      </c>
      <c r="J316" s="412">
        <v>9.5000000000000001E-2</v>
      </c>
      <c r="K316" s="412">
        <v>0.499</v>
      </c>
      <c r="L316" s="412">
        <v>1552.01</v>
      </c>
      <c r="M316" s="412">
        <v>880</v>
      </c>
      <c r="N316" s="412">
        <v>0.9</v>
      </c>
      <c r="O316" s="412">
        <v>0.7</v>
      </c>
      <c r="P316" s="412">
        <v>0.7</v>
      </c>
      <c r="Q316" s="412"/>
      <c r="R316" s="412"/>
      <c r="S316" s="412"/>
      <c r="T316" s="412"/>
      <c r="U316" s="412"/>
      <c r="V316" s="412"/>
      <c r="W316" s="412"/>
      <c r="X316" s="412"/>
      <c r="Y316" s="412"/>
      <c r="Z316" s="412"/>
      <c r="AA316" s="412"/>
      <c r="AB316" s="412"/>
      <c r="AC316" s="412"/>
      <c r="AD316" s="412"/>
    </row>
    <row r="317" spans="1:30">
      <c r="A317" s="412"/>
      <c r="B317" s="412"/>
      <c r="C317" s="412" t="str">
        <f>'Templ-Mats'!B219</f>
        <v>C03b</v>
      </c>
      <c r="D317" s="412" t="str">
        <f>'Templ-Mats'!C219</f>
        <v>Composite Insulated Concrete Form Wall With Steel Ties #2</v>
      </c>
      <c r="E317" s="412"/>
      <c r="F317" s="418">
        <f t="shared" si="13"/>
        <v>0.66417910447761186</v>
      </c>
      <c r="G317" s="412">
        <f>'Templ-Mats'!J219</f>
        <v>0.499</v>
      </c>
      <c r="H317" s="412">
        <f>'Templ-Mats'!G219</f>
        <v>95</v>
      </c>
      <c r="I317" s="412" t="s">
        <v>633</v>
      </c>
      <c r="J317" s="412">
        <v>8.8999999999999996E-2</v>
      </c>
      <c r="K317" s="412">
        <v>0.13400000000000001</v>
      </c>
      <c r="L317" s="412">
        <v>832.5</v>
      </c>
      <c r="M317" s="412">
        <v>1048</v>
      </c>
      <c r="N317" s="412">
        <v>0.9</v>
      </c>
      <c r="O317" s="412">
        <v>0.7</v>
      </c>
      <c r="P317" s="412">
        <v>0.7</v>
      </c>
      <c r="Q317" s="412"/>
      <c r="R317" s="412"/>
      <c r="S317" s="412"/>
      <c r="T317" s="412"/>
      <c r="U317" s="412"/>
      <c r="V317" s="412"/>
      <c r="W317" s="412"/>
      <c r="X317" s="412"/>
      <c r="Y317" s="412"/>
      <c r="Z317" s="412"/>
      <c r="AA317" s="412"/>
      <c r="AB317" s="412"/>
      <c r="AC317" s="412"/>
      <c r="AD317" s="412"/>
    </row>
    <row r="318" spans="1:30">
      <c r="A318" s="412"/>
      <c r="B318" s="412"/>
      <c r="C318" s="412" t="str">
        <f>'Templ-Mats'!B220</f>
        <v>C03c</v>
      </c>
      <c r="D318" s="412" t="str">
        <f>'Templ-Mats'!C220</f>
        <v>Composite Insulated Concrete Form Wall With Steel Ties #3</v>
      </c>
      <c r="E318" s="412"/>
      <c r="F318" s="418">
        <f t="shared" si="13"/>
        <v>4.8156508653122654E-2</v>
      </c>
      <c r="G318" s="412">
        <f>'Templ-Mats'!J220</f>
        <v>0.13400000000000001</v>
      </c>
      <c r="H318" s="412">
        <f>'Templ-Mats'!G220</f>
        <v>89</v>
      </c>
      <c r="I318" s="412" t="s">
        <v>649</v>
      </c>
      <c r="J318" s="412">
        <v>6.4000000000000001E-2</v>
      </c>
      <c r="K318" s="412">
        <v>1.329</v>
      </c>
      <c r="L318" s="412">
        <v>2213.25</v>
      </c>
      <c r="M318" s="412">
        <v>964</v>
      </c>
      <c r="N318" s="412">
        <v>0.9</v>
      </c>
      <c r="O318" s="412">
        <v>0.7</v>
      </c>
      <c r="P318" s="412">
        <v>0.7</v>
      </c>
      <c r="Q318" s="412"/>
      <c r="R318" s="412"/>
      <c r="S318" s="412"/>
      <c r="T318" s="412"/>
      <c r="U318" s="412"/>
      <c r="V318" s="412"/>
      <c r="W318" s="412"/>
      <c r="X318" s="412"/>
      <c r="Y318" s="412"/>
      <c r="Z318" s="412"/>
      <c r="AA318" s="412"/>
      <c r="AB318" s="412"/>
      <c r="AC318" s="412"/>
      <c r="AD318" s="412"/>
    </row>
    <row r="319" spans="1:30">
      <c r="A319" s="412"/>
      <c r="B319" s="412"/>
      <c r="C319" s="412" t="str">
        <f>'Templ-Mats'!B221</f>
        <v>C04a</v>
      </c>
      <c r="D319" s="412" t="str">
        <f>'Templ-Mats'!C221</f>
        <v>Composite Concrete/Foam/Concrete With Steel Connectors #1</v>
      </c>
      <c r="E319" s="412"/>
      <c r="F319" s="418">
        <f t="shared" si="13"/>
        <v>1.2459016393442621</v>
      </c>
      <c r="G319" s="412">
        <f>'Templ-Mats'!J221</f>
        <v>1.329</v>
      </c>
      <c r="H319" s="412">
        <f>'Templ-Mats'!G221</f>
        <v>64</v>
      </c>
      <c r="I319" s="412" t="s">
        <v>633</v>
      </c>
      <c r="J319" s="412">
        <v>7.5999999999999998E-2</v>
      </c>
      <c r="K319" s="412">
        <v>6.0999999999999999E-2</v>
      </c>
      <c r="L319" s="412">
        <v>41.53</v>
      </c>
      <c r="M319" s="412">
        <v>1173</v>
      </c>
      <c r="N319" s="412">
        <v>0.9</v>
      </c>
      <c r="O319" s="412">
        <v>0.7</v>
      </c>
      <c r="P319" s="412">
        <v>0.7</v>
      </c>
      <c r="Q319" s="412"/>
      <c r="R319" s="412"/>
      <c r="S319" s="412"/>
      <c r="T319" s="412"/>
      <c r="U319" s="412"/>
      <c r="V319" s="412"/>
      <c r="W319" s="412"/>
      <c r="X319" s="412"/>
      <c r="Y319" s="412"/>
      <c r="Z319" s="412"/>
      <c r="AA319" s="412"/>
      <c r="AB319" s="412"/>
      <c r="AC319" s="412"/>
      <c r="AD319" s="412"/>
    </row>
    <row r="320" spans="1:30">
      <c r="A320" s="412"/>
      <c r="B320" s="412"/>
      <c r="C320" s="412" t="str">
        <f>'Templ-Mats'!B222</f>
        <v>C04b</v>
      </c>
      <c r="D320" s="412" t="str">
        <f>'Templ-Mats'!C222</f>
        <v>Composite Concrete/Foam/Concrete With Steel Connectors #2</v>
      </c>
      <c r="E320" s="412"/>
      <c r="F320" s="418">
        <f t="shared" si="13"/>
        <v>5.9369202226345084E-2</v>
      </c>
      <c r="G320" s="412">
        <f>'Templ-Mats'!J222</f>
        <v>6.0999999999999999E-2</v>
      </c>
      <c r="H320" s="412">
        <f>'Templ-Mats'!G222</f>
        <v>76</v>
      </c>
      <c r="I320" s="412" t="s">
        <v>649</v>
      </c>
      <c r="J320" s="412">
        <v>6.4000000000000001E-2</v>
      </c>
      <c r="K320" s="412">
        <v>1.0780000000000001</v>
      </c>
      <c r="L320" s="412">
        <v>2185.44</v>
      </c>
      <c r="M320" s="412">
        <v>1173</v>
      </c>
      <c r="N320" s="412">
        <v>0.9</v>
      </c>
      <c r="O320" s="412">
        <v>0.7</v>
      </c>
      <c r="P320" s="412">
        <v>0.7</v>
      </c>
      <c r="Q320" s="412"/>
      <c r="R320" s="412"/>
      <c r="S320" s="412"/>
      <c r="T320" s="412"/>
      <c r="U320" s="412"/>
      <c r="V320" s="412"/>
      <c r="W320" s="412"/>
      <c r="X320" s="412"/>
      <c r="Y320" s="412"/>
      <c r="Z320" s="412"/>
      <c r="AA320" s="412"/>
      <c r="AB320" s="412"/>
      <c r="AC320" s="412"/>
      <c r="AD320" s="412"/>
    </row>
    <row r="321" spans="1:30">
      <c r="A321" s="412"/>
      <c r="B321" s="412"/>
      <c r="C321" s="412" t="str">
        <f>'Templ-Mats'!B223</f>
        <v>C04c</v>
      </c>
      <c r="D321" s="412" t="str">
        <f>'Templ-Mats'!C223</f>
        <v>Composite Concrete/Foam/Concrete With Steel Connectors #3</v>
      </c>
      <c r="E321" s="412"/>
      <c r="F321" s="418">
        <f t="shared" si="13"/>
        <v>5.8284762697751874E-2</v>
      </c>
      <c r="G321" s="412">
        <f>'Templ-Mats'!J223</f>
        <v>1.0780000000000001</v>
      </c>
      <c r="H321" s="412">
        <f>'Templ-Mats'!G223</f>
        <v>64</v>
      </c>
      <c r="I321" s="412" t="s">
        <v>649</v>
      </c>
      <c r="J321" s="412">
        <v>7.0000000000000007E-2</v>
      </c>
      <c r="K321" s="412">
        <v>1.2010000000000001</v>
      </c>
      <c r="L321" s="412">
        <v>2240</v>
      </c>
      <c r="M321" s="412">
        <v>901</v>
      </c>
      <c r="N321" s="412">
        <v>0.9</v>
      </c>
      <c r="O321" s="412">
        <v>0.7</v>
      </c>
      <c r="P321" s="412">
        <v>0.7</v>
      </c>
      <c r="Q321" s="412"/>
      <c r="R321" s="412"/>
      <c r="S321" s="412"/>
      <c r="T321" s="412"/>
      <c r="U321" s="412"/>
      <c r="V321" s="412"/>
      <c r="W321" s="412"/>
      <c r="X321" s="412"/>
      <c r="Y321" s="412"/>
      <c r="Z321" s="412"/>
      <c r="AA321" s="412"/>
      <c r="AB321" s="412"/>
      <c r="AC321" s="412"/>
      <c r="AD321" s="412"/>
    </row>
    <row r="322" spans="1:30">
      <c r="A322" s="412"/>
      <c r="B322" s="412"/>
      <c r="C322" s="412" t="str">
        <f>'Templ-Mats'!B224</f>
        <v>C05a</v>
      </c>
      <c r="D322" s="412" t="str">
        <f>'Templ-Mats'!C224</f>
        <v>Composite Concrete/Foam/Concrete With Plastic Connectors #1</v>
      </c>
      <c r="E322" s="412"/>
      <c r="F322" s="418">
        <f t="shared" si="13"/>
        <v>1.7777777777777779</v>
      </c>
      <c r="G322" s="412">
        <f>'Templ-Mats'!J224</f>
        <v>1.2010000000000001</v>
      </c>
      <c r="H322" s="412">
        <f>'Templ-Mats'!G224</f>
        <v>70</v>
      </c>
      <c r="I322" s="412" t="s">
        <v>633</v>
      </c>
      <c r="J322" s="412">
        <v>6.4000000000000001E-2</v>
      </c>
      <c r="K322" s="412">
        <v>3.5999999999999997E-2</v>
      </c>
      <c r="L322" s="412">
        <v>43.16</v>
      </c>
      <c r="M322" s="412">
        <v>1173</v>
      </c>
      <c r="N322" s="412">
        <v>0.9</v>
      </c>
      <c r="O322" s="412">
        <v>0.7</v>
      </c>
      <c r="P322" s="412">
        <v>0.7</v>
      </c>
      <c r="Q322" s="412"/>
      <c r="R322" s="412"/>
      <c r="S322" s="412"/>
      <c r="T322" s="412"/>
      <c r="U322" s="412"/>
      <c r="V322" s="412"/>
      <c r="W322" s="412"/>
      <c r="X322" s="412"/>
      <c r="Y322" s="412"/>
      <c r="Z322" s="412"/>
      <c r="AA322" s="412"/>
      <c r="AB322" s="412"/>
      <c r="AC322" s="412"/>
      <c r="AD322" s="412"/>
    </row>
    <row r="323" spans="1:30">
      <c r="A323" s="412"/>
      <c r="B323" s="412"/>
      <c r="C323" s="412" t="str">
        <f>'Templ-Mats'!B225</f>
        <v>C05b</v>
      </c>
      <c r="D323" s="412" t="str">
        <f>'Templ-Mats'!C225</f>
        <v>Composite Concrete/Foam/Concrete With Plastic Connectors #2</v>
      </c>
      <c r="E323" s="412"/>
      <c r="F323" s="418">
        <f t="shared" si="13"/>
        <v>5.143277002204262E-2</v>
      </c>
      <c r="G323" s="412">
        <f>'Templ-Mats'!J225</f>
        <v>3.5999999999999997E-2</v>
      </c>
      <c r="H323" s="412">
        <f>'Templ-Mats'!G225</f>
        <v>64</v>
      </c>
      <c r="I323" s="412" t="s">
        <v>649</v>
      </c>
      <c r="J323" s="412">
        <v>7.0000000000000007E-2</v>
      </c>
      <c r="K323" s="412">
        <v>1.361</v>
      </c>
      <c r="L323" s="412">
        <v>2153.4899999999998</v>
      </c>
      <c r="M323" s="412">
        <v>1048</v>
      </c>
      <c r="N323" s="412">
        <v>0.9</v>
      </c>
      <c r="O323" s="412">
        <v>0.7</v>
      </c>
      <c r="P323" s="412">
        <v>0.7</v>
      </c>
      <c r="Q323" s="412"/>
      <c r="R323" s="412"/>
      <c r="S323" s="412"/>
      <c r="T323" s="412"/>
      <c r="U323" s="412"/>
      <c r="V323" s="412"/>
      <c r="W323" s="412"/>
      <c r="X323" s="412"/>
      <c r="Y323" s="412"/>
      <c r="Z323" s="412"/>
      <c r="AA323" s="412"/>
      <c r="AB323" s="412"/>
      <c r="AC323" s="412"/>
      <c r="AD323" s="412"/>
    </row>
    <row r="324" spans="1:30">
      <c r="A324" s="412"/>
      <c r="B324" s="412"/>
      <c r="C324" s="412" t="str">
        <f>'Templ-Mats'!B226</f>
        <v>C05c</v>
      </c>
      <c r="D324" s="412" t="str">
        <f>'Templ-Mats'!C226</f>
        <v>Composite Concrete/Foam/Concrete With Plastic Connectors #3</v>
      </c>
      <c r="E324" s="412"/>
      <c r="F324" s="418">
        <f t="shared" si="13"/>
        <v>1.8055555555555554E-2</v>
      </c>
      <c r="G324" s="412">
        <f>'Templ-Mats'!J226</f>
        <v>1.361</v>
      </c>
      <c r="H324" s="412">
        <f>'Templ-Mats'!G226</f>
        <v>70</v>
      </c>
      <c r="I324" s="412" t="s">
        <v>633</v>
      </c>
      <c r="J324" s="412">
        <v>1.2999999999999999E-2</v>
      </c>
      <c r="K324" s="412">
        <v>0.72</v>
      </c>
      <c r="L324" s="412">
        <v>640</v>
      </c>
      <c r="M324" s="412">
        <v>1048</v>
      </c>
      <c r="N324" s="412">
        <v>0.9</v>
      </c>
      <c r="O324" s="412">
        <v>0.7</v>
      </c>
      <c r="P324" s="412">
        <v>0.7</v>
      </c>
      <c r="Q324" s="412"/>
      <c r="R324" s="412"/>
      <c r="S324" s="412"/>
      <c r="T324" s="412"/>
      <c r="U324" s="412"/>
      <c r="V324" s="412"/>
      <c r="W324" s="412"/>
      <c r="X324" s="412"/>
      <c r="Y324" s="412"/>
      <c r="Z324" s="412"/>
      <c r="AA324" s="412"/>
      <c r="AB324" s="412"/>
      <c r="AC324" s="412"/>
      <c r="AD324" s="412"/>
    </row>
    <row r="325" spans="1:30">
      <c r="A325" s="412"/>
      <c r="B325" s="412"/>
      <c r="C325" s="412" t="str">
        <f>'Templ-Mats'!B227</f>
        <v>C06a</v>
      </c>
      <c r="D325" s="412" t="str">
        <f>'Templ-Mats'!C227</f>
        <v>Composite 2x4 Steel Stud R11 #1</v>
      </c>
      <c r="E325" s="412"/>
      <c r="F325" s="418">
        <f t="shared" si="13"/>
        <v>1.4833333333333334</v>
      </c>
      <c r="G325" s="412">
        <f>'Templ-Mats'!J227</f>
        <v>0.72</v>
      </c>
      <c r="H325" s="412">
        <f>'Templ-Mats'!G227</f>
        <v>13</v>
      </c>
      <c r="I325" s="412" t="s">
        <v>633</v>
      </c>
      <c r="J325" s="412">
        <v>8.8999999999999996E-2</v>
      </c>
      <c r="K325" s="412">
        <v>0.06</v>
      </c>
      <c r="L325" s="412">
        <v>118.223</v>
      </c>
      <c r="M325" s="412">
        <v>1048</v>
      </c>
      <c r="N325" s="412">
        <v>0.9</v>
      </c>
      <c r="O325" s="412">
        <v>0.7</v>
      </c>
      <c r="P325" s="412">
        <v>0.7</v>
      </c>
      <c r="Q325" s="412"/>
      <c r="R325" s="412"/>
      <c r="S325" s="412"/>
      <c r="T325" s="412"/>
      <c r="U325" s="412"/>
      <c r="V325" s="412"/>
      <c r="W325" s="412"/>
      <c r="X325" s="412"/>
      <c r="Y325" s="412"/>
      <c r="Z325" s="412"/>
      <c r="AA325" s="412"/>
      <c r="AB325" s="412"/>
      <c r="AC325" s="412"/>
      <c r="AD325" s="412"/>
    </row>
    <row r="326" spans="1:30">
      <c r="A326" s="412"/>
      <c r="B326" s="412"/>
      <c r="C326" s="412" t="str">
        <f>'Templ-Mats'!B228</f>
        <v>C06b</v>
      </c>
      <c r="D326" s="412" t="str">
        <f>'Templ-Mats'!C228</f>
        <v>Composite 2x4 Steel Stud R11 #2</v>
      </c>
      <c r="E326" s="412"/>
      <c r="F326" s="418">
        <f t="shared" si="13"/>
        <v>5.5309734513274339E-2</v>
      </c>
      <c r="G326" s="412">
        <f>'Templ-Mats'!J228</f>
        <v>0.06</v>
      </c>
      <c r="H326" s="412">
        <f>'Templ-Mats'!G228</f>
        <v>89</v>
      </c>
      <c r="I326" s="412" t="s">
        <v>633</v>
      </c>
      <c r="J326" s="412">
        <v>2.5000000000000001E-2</v>
      </c>
      <c r="K326" s="412">
        <v>0.45200000000000001</v>
      </c>
      <c r="L326" s="412">
        <v>413.78199999999998</v>
      </c>
      <c r="M326" s="412">
        <v>1048</v>
      </c>
      <c r="N326" s="412">
        <v>0.9</v>
      </c>
      <c r="O326" s="412">
        <v>0.7</v>
      </c>
      <c r="P326" s="412">
        <v>0.7</v>
      </c>
      <c r="Q326" s="412"/>
      <c r="R326" s="412"/>
      <c r="S326" s="412"/>
      <c r="T326" s="412"/>
      <c r="U326" s="412"/>
      <c r="V326" s="412"/>
      <c r="W326" s="412"/>
      <c r="X326" s="412"/>
      <c r="Y326" s="412"/>
      <c r="Z326" s="412"/>
      <c r="AA326" s="412"/>
      <c r="AB326" s="412"/>
      <c r="AC326" s="412"/>
      <c r="AD326" s="412"/>
    </row>
    <row r="327" spans="1:30">
      <c r="A327" s="412"/>
      <c r="B327" s="412"/>
      <c r="C327" s="412" t="str">
        <f>'Templ-Mats'!B229</f>
        <v>C06c</v>
      </c>
      <c r="D327" s="412" t="str">
        <f>'Templ-Mats'!C229</f>
        <v>Composite 2x4 Steel Stud R11 #3</v>
      </c>
      <c r="E327" s="412"/>
      <c r="F327" s="418">
        <f t="shared" si="13"/>
        <v>7.6923076923076913E-2</v>
      </c>
      <c r="G327" s="412">
        <f>'Templ-Mats'!J229</f>
        <v>0.45200000000000001</v>
      </c>
      <c r="H327" s="412">
        <f>'Templ-Mats'!G229</f>
        <v>25</v>
      </c>
      <c r="I327" s="412" t="s">
        <v>640</v>
      </c>
      <c r="J327" s="412">
        <v>1.2999999999999999E-2</v>
      </c>
      <c r="K327" s="412">
        <v>0.16900000000000001</v>
      </c>
      <c r="L327" s="412">
        <v>640</v>
      </c>
      <c r="M327" s="412">
        <v>1048</v>
      </c>
      <c r="N327" s="412">
        <v>0.9</v>
      </c>
      <c r="O327" s="412">
        <v>0.7</v>
      </c>
      <c r="P327" s="412">
        <v>0.7</v>
      </c>
      <c r="Q327" s="412"/>
      <c r="R327" s="412"/>
      <c r="S327" s="412"/>
      <c r="T327" s="412"/>
      <c r="U327" s="412"/>
      <c r="V327" s="412"/>
      <c r="W327" s="412"/>
      <c r="X327" s="412"/>
      <c r="Y327" s="412"/>
      <c r="Z327" s="412"/>
      <c r="AA327" s="412"/>
      <c r="AB327" s="412"/>
      <c r="AC327" s="412"/>
      <c r="AD327" s="412"/>
    </row>
    <row r="328" spans="1:30">
      <c r="A328" s="412"/>
      <c r="B328" s="412"/>
      <c r="C328" s="412" t="str">
        <f>'Templ-Mats'!B230</f>
        <v>C07a</v>
      </c>
      <c r="D328" s="412" t="str">
        <f>'Templ-Mats'!C230</f>
        <v>Composite Brick Foam 2x4 Steel Stud R11 #1</v>
      </c>
      <c r="E328" s="412"/>
      <c r="F328" s="418">
        <f t="shared" si="13"/>
        <v>2.0483870967741935</v>
      </c>
      <c r="G328" s="412">
        <f>'Templ-Mats'!J230</f>
        <v>0.16900000000000001</v>
      </c>
      <c r="H328" s="412">
        <f>'Templ-Mats'!G230</f>
        <v>13</v>
      </c>
      <c r="I328" s="412" t="s">
        <v>633</v>
      </c>
      <c r="J328" s="412">
        <v>0.127</v>
      </c>
      <c r="K328" s="412">
        <v>6.2E-2</v>
      </c>
      <c r="L328" s="412">
        <v>57.26</v>
      </c>
      <c r="M328" s="412">
        <v>964</v>
      </c>
      <c r="N328" s="412">
        <v>0.9</v>
      </c>
      <c r="O328" s="412">
        <v>0.7</v>
      </c>
      <c r="P328" s="412">
        <v>0.7</v>
      </c>
      <c r="Q328" s="412"/>
      <c r="R328" s="412"/>
      <c r="S328" s="412"/>
      <c r="T328" s="412"/>
      <c r="U328" s="412"/>
      <c r="V328" s="412"/>
      <c r="W328" s="412"/>
      <c r="X328" s="412"/>
      <c r="Y328" s="412"/>
      <c r="Z328" s="412"/>
      <c r="AA328" s="412"/>
      <c r="AB328" s="412"/>
      <c r="AC328" s="412"/>
      <c r="AD328" s="412"/>
    </row>
    <row r="329" spans="1:30">
      <c r="A329" s="412"/>
      <c r="B329" s="412"/>
      <c r="C329" s="412" t="str">
        <f>'Templ-Mats'!B231</f>
        <v>C07b</v>
      </c>
      <c r="D329" s="412" t="str">
        <f>'Templ-Mats'!C231</f>
        <v>Composite Brick Foam 2x4 Steel Stud R11 #2</v>
      </c>
      <c r="E329" s="412"/>
      <c r="F329" s="418">
        <f t="shared" si="13"/>
        <v>0.13009404388714735</v>
      </c>
      <c r="G329" s="412">
        <f>'Templ-Mats'!J231</f>
        <v>6.2E-2</v>
      </c>
      <c r="H329" s="412">
        <f>'Templ-Mats'!G231</f>
        <v>127</v>
      </c>
      <c r="I329" s="412" t="s">
        <v>633</v>
      </c>
      <c r="J329" s="412">
        <v>8.3000000000000004E-2</v>
      </c>
      <c r="K329" s="412">
        <v>0.63800000000000001</v>
      </c>
      <c r="L329" s="412">
        <v>2026.14</v>
      </c>
      <c r="M329" s="412">
        <v>796</v>
      </c>
      <c r="N329" s="412">
        <v>0.9</v>
      </c>
      <c r="O329" s="412">
        <v>0.7</v>
      </c>
      <c r="P329" s="412">
        <v>0.7</v>
      </c>
      <c r="Q329" s="412"/>
      <c r="R329" s="412"/>
      <c r="S329" s="412"/>
      <c r="T329" s="412"/>
      <c r="U329" s="412"/>
      <c r="V329" s="412"/>
      <c r="W329" s="412"/>
      <c r="X329" s="412"/>
      <c r="Y329" s="412"/>
      <c r="Z329" s="412"/>
      <c r="AA329" s="412"/>
      <c r="AB329" s="412"/>
      <c r="AC329" s="412"/>
      <c r="AD329" s="412"/>
    </row>
    <row r="330" spans="1:30">
      <c r="A330" s="412"/>
      <c r="B330" s="412"/>
      <c r="C330" s="412" t="str">
        <f>'Templ-Mats'!B232</f>
        <v>C07c</v>
      </c>
      <c r="D330" s="412" t="str">
        <f>'Templ-Mats'!C232</f>
        <v>Composite Brick Foam 2x4 Steel Stud R11 #3</v>
      </c>
      <c r="E330" s="412"/>
      <c r="F330" s="418">
        <f t="shared" si="13"/>
        <v>7.5098814229249009E-2</v>
      </c>
      <c r="G330" s="412">
        <f>'Templ-Mats'!J232</f>
        <v>0.63800000000000001</v>
      </c>
      <c r="H330" s="412">
        <f>'Templ-Mats'!G232</f>
        <v>83</v>
      </c>
      <c r="I330" s="412" t="s">
        <v>633</v>
      </c>
      <c r="J330" s="412">
        <v>1.9E-2</v>
      </c>
      <c r="K330" s="412">
        <v>0.253</v>
      </c>
      <c r="L330" s="412">
        <v>560</v>
      </c>
      <c r="M330" s="412">
        <v>1006</v>
      </c>
      <c r="N330" s="412">
        <v>0.9</v>
      </c>
      <c r="O330" s="412">
        <v>0.7</v>
      </c>
      <c r="P330" s="412">
        <v>0.7</v>
      </c>
      <c r="Q330" s="412"/>
      <c r="R330" s="412"/>
      <c r="S330" s="412"/>
      <c r="T330" s="412"/>
      <c r="U330" s="412"/>
      <c r="V330" s="412"/>
      <c r="W330" s="412"/>
      <c r="X330" s="412"/>
      <c r="Y330" s="412"/>
      <c r="Z330" s="412"/>
      <c r="AA330" s="412"/>
      <c r="AB330" s="412"/>
      <c r="AC330" s="412"/>
      <c r="AD330" s="412"/>
    </row>
    <row r="331" spans="1:30">
      <c r="A331" s="412"/>
      <c r="B331" s="412"/>
      <c r="C331" s="412" t="str">
        <f>'Templ-Mats'!B233</f>
        <v>C08a</v>
      </c>
      <c r="D331" s="412" t="str">
        <f>'Templ-Mats'!C233</f>
        <v>Composite 2x6 Steel Stud R19 #1</v>
      </c>
      <c r="E331" s="412"/>
      <c r="F331" s="418">
        <f t="shared" si="13"/>
        <v>1.8219178082191785</v>
      </c>
      <c r="G331" s="412">
        <f>'Templ-Mats'!J233</f>
        <v>0.253</v>
      </c>
      <c r="H331" s="412">
        <f>'Templ-Mats'!G233</f>
        <v>19</v>
      </c>
      <c r="I331" s="412" t="s">
        <v>633</v>
      </c>
      <c r="J331" s="412">
        <v>0.13300000000000001</v>
      </c>
      <c r="K331" s="412">
        <v>7.2999999999999995E-2</v>
      </c>
      <c r="L331" s="412">
        <v>61.8</v>
      </c>
      <c r="M331" s="412">
        <v>1006</v>
      </c>
      <c r="N331" s="412">
        <v>0.9</v>
      </c>
      <c r="O331" s="412">
        <v>0.7</v>
      </c>
      <c r="P331" s="412">
        <v>0.7</v>
      </c>
      <c r="Q331" s="412"/>
      <c r="R331" s="412"/>
      <c r="S331" s="412"/>
      <c r="T331" s="412"/>
      <c r="U331" s="412"/>
      <c r="V331" s="412"/>
      <c r="W331" s="412"/>
      <c r="X331" s="412"/>
      <c r="Y331" s="412"/>
      <c r="Z331" s="412"/>
      <c r="AA331" s="412"/>
      <c r="AB331" s="412"/>
      <c r="AC331" s="412"/>
      <c r="AD331" s="412"/>
    </row>
    <row r="332" spans="1:30">
      <c r="A332" s="412"/>
      <c r="B332" s="412"/>
      <c r="C332" s="412" t="str">
        <f>'Templ-Mats'!B234</f>
        <v>C08b</v>
      </c>
      <c r="D332" s="412" t="str">
        <f>'Templ-Mats'!C234</f>
        <v>Composite 2x6 Steel Stud R19 #2</v>
      </c>
      <c r="E332" s="412"/>
      <c r="F332" s="418">
        <f t="shared" si="13"/>
        <v>0.10080645161290323</v>
      </c>
      <c r="G332" s="412">
        <f>'Templ-Mats'!J234</f>
        <v>7.2999999999999995E-2</v>
      </c>
      <c r="H332" s="412">
        <f>'Templ-Mats'!G234</f>
        <v>133</v>
      </c>
      <c r="I332" s="412" t="s">
        <v>633</v>
      </c>
      <c r="J332" s="412">
        <v>2.5000000000000001E-2</v>
      </c>
      <c r="K332" s="412">
        <v>0.248</v>
      </c>
      <c r="L332" s="412">
        <v>486.67</v>
      </c>
      <c r="M332" s="412">
        <v>1006</v>
      </c>
      <c r="N332" s="412">
        <v>0.9</v>
      </c>
      <c r="O332" s="412">
        <v>0.7</v>
      </c>
      <c r="P332" s="412">
        <v>0.7</v>
      </c>
      <c r="Q332" s="412"/>
      <c r="R332" s="412"/>
      <c r="S332" s="412"/>
      <c r="T332" s="412"/>
      <c r="U332" s="412"/>
      <c r="V332" s="412"/>
      <c r="W332" s="412"/>
      <c r="X332" s="412"/>
      <c r="Y332" s="412"/>
      <c r="Z332" s="412"/>
      <c r="AA332" s="412"/>
      <c r="AB332" s="412"/>
      <c r="AC332" s="412"/>
      <c r="AD332" s="412"/>
    </row>
    <row r="333" spans="1:30">
      <c r="A333" s="412"/>
      <c r="B333" s="412"/>
      <c r="C333" s="412" t="str">
        <f>'Templ-Mats'!B235</f>
        <v>C08c</v>
      </c>
      <c r="D333" s="412" t="str">
        <f>'Templ-Mats'!C235</f>
        <v>Composite 2x6 Steel Stud R19 #3</v>
      </c>
      <c r="E333" s="412"/>
      <c r="F333" s="418">
        <f t="shared" si="13"/>
        <v>0.12751677852348994</v>
      </c>
      <c r="G333" s="412">
        <f>'Templ-Mats'!J235</f>
        <v>0.248</v>
      </c>
      <c r="H333" s="412">
        <f>'Templ-Mats'!G235</f>
        <v>25</v>
      </c>
      <c r="I333" s="412" t="s">
        <v>646</v>
      </c>
      <c r="J333" s="412">
        <v>1.9E-2</v>
      </c>
      <c r="K333" s="412">
        <v>0.14899999999999999</v>
      </c>
      <c r="L333" s="412">
        <v>400</v>
      </c>
      <c r="M333" s="412">
        <v>1006</v>
      </c>
      <c r="N333" s="412">
        <v>0.9</v>
      </c>
      <c r="O333" s="412">
        <v>0.7</v>
      </c>
      <c r="P333" s="412">
        <v>0.7</v>
      </c>
      <c r="Q333" s="412"/>
      <c r="R333" s="412"/>
      <c r="S333" s="412"/>
      <c r="T333" s="412"/>
      <c r="U333" s="412"/>
      <c r="V333" s="412"/>
      <c r="W333" s="412"/>
      <c r="X333" s="412"/>
      <c r="Y333" s="412"/>
      <c r="Z333" s="412"/>
      <c r="AA333" s="412"/>
      <c r="AB333" s="412"/>
      <c r="AC333" s="412"/>
      <c r="AD333" s="412"/>
    </row>
    <row r="334" spans="1:30">
      <c r="A334" s="412"/>
      <c r="B334" s="412"/>
      <c r="C334" s="412" t="str">
        <f>'Templ-Mats'!B236</f>
        <v>C09a</v>
      </c>
      <c r="D334" s="412" t="str">
        <f>'Templ-Mats'!C236</f>
        <v>Composite Foam 2x6 Steel Stud R19 #1</v>
      </c>
      <c r="E334" s="412"/>
      <c r="F334" s="418">
        <f t="shared" si="13"/>
        <v>2.4901960784313726</v>
      </c>
      <c r="G334" s="412">
        <f>'Templ-Mats'!J236</f>
        <v>0.14899999999999999</v>
      </c>
      <c r="H334" s="412">
        <f>'Templ-Mats'!G236</f>
        <v>19</v>
      </c>
      <c r="I334" s="412" t="s">
        <v>633</v>
      </c>
      <c r="J334" s="412">
        <v>0.127</v>
      </c>
      <c r="K334" s="412">
        <v>5.0999999999999997E-2</v>
      </c>
      <c r="L334" s="412">
        <v>85.95</v>
      </c>
      <c r="M334" s="412">
        <v>964</v>
      </c>
      <c r="N334" s="412">
        <v>0.9</v>
      </c>
      <c r="O334" s="412">
        <v>0.7</v>
      </c>
      <c r="P334" s="412">
        <v>0.7</v>
      </c>
      <c r="Q334" s="412"/>
      <c r="R334" s="412"/>
      <c r="S334" s="412"/>
      <c r="T334" s="412"/>
      <c r="U334" s="412"/>
      <c r="V334" s="412"/>
      <c r="W334" s="412"/>
      <c r="X334" s="412"/>
      <c r="Y334" s="412"/>
      <c r="Z334" s="412"/>
      <c r="AA334" s="412"/>
      <c r="AB334" s="412"/>
      <c r="AC334" s="412"/>
      <c r="AD334" s="412"/>
    </row>
    <row r="335" spans="1:30">
      <c r="A335" s="412"/>
      <c r="B335" s="412"/>
      <c r="C335" s="412" t="str">
        <f>'Templ-Mats'!B237</f>
        <v>C09b</v>
      </c>
      <c r="D335" s="412" t="str">
        <f>'Templ-Mats'!C237</f>
        <v>Composite Foam 2x6 Steel Stud R19 #2</v>
      </c>
      <c r="E335" s="412"/>
      <c r="F335" s="418">
        <f t="shared" si="13"/>
        <v>5.5030094582975059E-2</v>
      </c>
      <c r="G335" s="412">
        <f>'Templ-Mats'!J237</f>
        <v>5.0999999999999997E-2</v>
      </c>
      <c r="H335" s="412">
        <f>'Templ-Mats'!G237</f>
        <v>127</v>
      </c>
      <c r="I335" s="412" t="s">
        <v>633</v>
      </c>
      <c r="J335" s="412">
        <v>6.4000000000000001E-2</v>
      </c>
      <c r="K335" s="412">
        <v>1.163</v>
      </c>
      <c r="L335" s="412">
        <v>790.7</v>
      </c>
      <c r="M335" s="412">
        <v>838</v>
      </c>
      <c r="N335" s="412">
        <v>0.9</v>
      </c>
      <c r="O335" s="412">
        <v>0.7</v>
      </c>
      <c r="P335" s="412">
        <v>0.7</v>
      </c>
      <c r="Q335" s="412"/>
      <c r="R335" s="412"/>
      <c r="S335" s="412"/>
      <c r="T335" s="412"/>
      <c r="U335" s="412"/>
      <c r="V335" s="412"/>
      <c r="W335" s="412"/>
      <c r="X335" s="412"/>
      <c r="Y335" s="412"/>
      <c r="Z335" s="412"/>
      <c r="AA335" s="412"/>
      <c r="AB335" s="412"/>
      <c r="AC335" s="412"/>
      <c r="AD335" s="412"/>
    </row>
    <row r="336" spans="1:30">
      <c r="A336" s="412"/>
      <c r="B336" s="412"/>
      <c r="C336" s="412" t="str">
        <f>'Templ-Mats'!B238</f>
        <v>C09c</v>
      </c>
      <c r="D336" s="412" t="str">
        <f>'Templ-Mats'!C238</f>
        <v>Composite Foam 2x6 Steel Stud R19 #3</v>
      </c>
      <c r="E336" s="412"/>
      <c r="F336" s="418">
        <f t="shared" si="13"/>
        <v>5.7329462989840353E-2</v>
      </c>
      <c r="G336" s="412">
        <f>'Templ-Mats'!J238</f>
        <v>1.163</v>
      </c>
      <c r="H336" s="412">
        <f>'Templ-Mats'!G238</f>
        <v>64</v>
      </c>
      <c r="I336" s="412" t="s">
        <v>640</v>
      </c>
      <c r="J336" s="412">
        <v>7.9000000000000001E-2</v>
      </c>
      <c r="K336" s="412">
        <v>1.3779999999999999</v>
      </c>
      <c r="L336" s="412">
        <v>1731.45</v>
      </c>
      <c r="M336" s="412">
        <v>838</v>
      </c>
      <c r="N336" s="412">
        <v>0.9</v>
      </c>
      <c r="O336" s="412">
        <v>0.7</v>
      </c>
      <c r="P336" s="412">
        <v>0.7</v>
      </c>
      <c r="Q336" s="412"/>
      <c r="R336" s="412"/>
      <c r="S336" s="412"/>
      <c r="T336" s="412"/>
      <c r="U336" s="412"/>
      <c r="V336" s="412"/>
      <c r="W336" s="412"/>
      <c r="X336" s="412"/>
      <c r="Y336" s="412"/>
      <c r="Z336" s="412"/>
      <c r="AA336" s="412"/>
      <c r="AB336" s="412"/>
      <c r="AC336" s="412"/>
      <c r="AD336" s="412"/>
    </row>
    <row r="337" spans="1:30">
      <c r="A337" s="412"/>
      <c r="B337" s="412"/>
      <c r="C337" s="412" t="str">
        <f>'Templ-Mats'!B239</f>
        <v>C10a</v>
      </c>
      <c r="D337" s="412" t="str">
        <f>'Templ-Mats'!C239</f>
        <v>Composite 2-Core Filled Concrete Block Uninsulated #1</v>
      </c>
      <c r="E337" s="412"/>
      <c r="F337" s="418">
        <f t="shared" si="13"/>
        <v>0.11924882629107982</v>
      </c>
      <c r="G337" s="412">
        <f>'Templ-Mats'!J239</f>
        <v>1.3779999999999999</v>
      </c>
      <c r="H337" s="412">
        <f>'Templ-Mats'!G239</f>
        <v>79</v>
      </c>
      <c r="I337" s="412" t="s">
        <v>633</v>
      </c>
      <c r="J337" s="412">
        <v>0.127</v>
      </c>
      <c r="K337" s="412">
        <v>1.0649999999999999</v>
      </c>
      <c r="L337" s="412">
        <v>1031.57</v>
      </c>
      <c r="M337" s="412">
        <v>419</v>
      </c>
      <c r="N337" s="412">
        <v>0.9</v>
      </c>
      <c r="O337" s="412">
        <v>0.7</v>
      </c>
      <c r="P337" s="412">
        <v>0.7</v>
      </c>
      <c r="Q337" s="412"/>
      <c r="R337" s="412"/>
      <c r="S337" s="412"/>
      <c r="T337" s="412"/>
      <c r="U337" s="412"/>
      <c r="V337" s="412"/>
      <c r="W337" s="412"/>
      <c r="X337" s="412"/>
      <c r="Y337" s="412"/>
      <c r="Z337" s="412"/>
      <c r="AA337" s="412"/>
      <c r="AB337" s="412"/>
      <c r="AC337" s="412"/>
      <c r="AD337" s="412"/>
    </row>
    <row r="338" spans="1:30">
      <c r="A338" s="412"/>
      <c r="B338" s="412"/>
      <c r="C338" s="412" t="str">
        <f>'Templ-Mats'!B240</f>
        <v>C10b</v>
      </c>
      <c r="D338" s="412" t="str">
        <f>'Templ-Mats'!C240</f>
        <v>Composite 2-Core Filled Concrete Block Uninsulated #2</v>
      </c>
      <c r="E338" s="412"/>
      <c r="F338" s="418">
        <f t="shared" si="13"/>
        <v>6.1934585942936667E-2</v>
      </c>
      <c r="G338" s="412">
        <f>'Templ-Mats'!J240</f>
        <v>1.0649999999999999</v>
      </c>
      <c r="H338" s="412">
        <f>'Templ-Mats'!G240</f>
        <v>127</v>
      </c>
      <c r="I338" s="412" t="s">
        <v>640</v>
      </c>
      <c r="J338" s="412">
        <v>8.8999999999999996E-2</v>
      </c>
      <c r="K338" s="412">
        <v>1.4370000000000001</v>
      </c>
      <c r="L338" s="412">
        <v>1647.86</v>
      </c>
      <c r="M338" s="412">
        <v>838</v>
      </c>
      <c r="N338" s="412">
        <v>0.9</v>
      </c>
      <c r="O338" s="412">
        <v>0.7</v>
      </c>
      <c r="P338" s="412">
        <v>0.7</v>
      </c>
      <c r="Q338" s="412"/>
      <c r="R338" s="412"/>
      <c r="S338" s="412"/>
      <c r="T338" s="412"/>
      <c r="U338" s="412"/>
      <c r="V338" s="412"/>
      <c r="W338" s="412"/>
      <c r="X338" s="412"/>
      <c r="Y338" s="412"/>
      <c r="Z338" s="412"/>
      <c r="AA338" s="412"/>
      <c r="AB338" s="412"/>
      <c r="AC338" s="412"/>
      <c r="AD338" s="412"/>
    </row>
    <row r="339" spans="1:30">
      <c r="A339" s="412"/>
      <c r="B339" s="412"/>
      <c r="C339" s="412" t="str">
        <f>'Templ-Mats'!B241</f>
        <v>C10c</v>
      </c>
      <c r="D339" s="412" t="str">
        <f>'Templ-Mats'!C241</f>
        <v>Composite 2-Core Filled Concrete Block Uninsulated #3</v>
      </c>
      <c r="E339" s="412"/>
      <c r="F339" s="418">
        <f t="shared" si="13"/>
        <v>8.9772727272727282E-2</v>
      </c>
      <c r="G339" s="412">
        <f>'Templ-Mats'!J241</f>
        <v>1.4370000000000001</v>
      </c>
      <c r="H339" s="412">
        <f>'Templ-Mats'!G241</f>
        <v>89</v>
      </c>
      <c r="I339" s="412" t="s">
        <v>640</v>
      </c>
      <c r="J339" s="412">
        <v>7.9000000000000001E-2</v>
      </c>
      <c r="K339" s="412">
        <v>0.88</v>
      </c>
      <c r="L339" s="412">
        <v>1774.75</v>
      </c>
      <c r="M339" s="412">
        <v>838</v>
      </c>
      <c r="N339" s="412">
        <v>0.9</v>
      </c>
      <c r="O339" s="412">
        <v>0.7</v>
      </c>
      <c r="P339" s="412">
        <v>0.7</v>
      </c>
      <c r="Q339" s="412"/>
      <c r="R339" s="412"/>
      <c r="S339" s="412"/>
      <c r="T339" s="412"/>
      <c r="U339" s="412"/>
      <c r="V339" s="412"/>
      <c r="W339" s="412"/>
      <c r="X339" s="412"/>
      <c r="Y339" s="412"/>
      <c r="Z339" s="412"/>
      <c r="AA339" s="412"/>
      <c r="AB339" s="412"/>
      <c r="AC339" s="412"/>
      <c r="AD339" s="412"/>
    </row>
    <row r="340" spans="1:30">
      <c r="A340" s="412"/>
      <c r="B340" s="412"/>
      <c r="C340" s="412" t="str">
        <f>'Templ-Mats'!B242</f>
        <v>C11a</v>
      </c>
      <c r="D340" s="412" t="str">
        <f>'Templ-Mats'!C242</f>
        <v>Composite 2-Core Filled Concrete Block Insulated #1</v>
      </c>
      <c r="E340" s="412"/>
      <c r="F340" s="418">
        <f t="shared" si="13"/>
        <v>0.22202797202797203</v>
      </c>
      <c r="G340" s="412">
        <f>'Templ-Mats'!J242</f>
        <v>0.88</v>
      </c>
      <c r="H340" s="412">
        <f>'Templ-Mats'!G242</f>
        <v>79</v>
      </c>
      <c r="I340" s="412" t="s">
        <v>633</v>
      </c>
      <c r="J340" s="412">
        <v>0.127</v>
      </c>
      <c r="K340" s="412">
        <v>0.57199999999999995</v>
      </c>
      <c r="L340" s="412">
        <v>346.61</v>
      </c>
      <c r="M340" s="412">
        <v>838</v>
      </c>
      <c r="N340" s="412">
        <v>0.9</v>
      </c>
      <c r="O340" s="412">
        <v>0.7</v>
      </c>
      <c r="P340" s="412">
        <v>0.7</v>
      </c>
      <c r="Q340" s="412"/>
      <c r="R340" s="412"/>
      <c r="S340" s="412"/>
      <c r="T340" s="412"/>
      <c r="U340" s="412"/>
      <c r="V340" s="412"/>
      <c r="W340" s="412"/>
      <c r="X340" s="412"/>
      <c r="Y340" s="412"/>
      <c r="Z340" s="412"/>
      <c r="AA340" s="412"/>
      <c r="AB340" s="412"/>
      <c r="AC340" s="412"/>
      <c r="AD340" s="412"/>
    </row>
    <row r="341" spans="1:30">
      <c r="A341" s="412"/>
      <c r="B341" s="412"/>
      <c r="C341" s="412" t="str">
        <f>'Templ-Mats'!B243</f>
        <v>C11b</v>
      </c>
      <c r="D341" s="412" t="str">
        <f>'Templ-Mats'!C243</f>
        <v>Composite 2-Core Filled Concrete Block Insulated #2</v>
      </c>
      <c r="E341" s="412"/>
      <c r="F341" s="418">
        <f t="shared" si="13"/>
        <v>9.146968139773895E-2</v>
      </c>
      <c r="G341" s="412">
        <f>'Templ-Mats'!J243</f>
        <v>0.57199999999999995</v>
      </c>
      <c r="H341" s="412">
        <f>'Templ-Mats'!G243</f>
        <v>127</v>
      </c>
      <c r="I341" s="412" t="s">
        <v>640</v>
      </c>
      <c r="J341" s="412">
        <v>8.8999999999999996E-2</v>
      </c>
      <c r="K341" s="412">
        <v>0.97299999999999998</v>
      </c>
      <c r="L341" s="412">
        <v>1862.66</v>
      </c>
      <c r="M341" s="412">
        <v>838</v>
      </c>
      <c r="N341" s="412">
        <v>0.9</v>
      </c>
      <c r="O341" s="412">
        <v>0.7</v>
      </c>
      <c r="P341" s="412">
        <v>0.7</v>
      </c>
      <c r="Q341" s="412"/>
      <c r="R341" s="412"/>
      <c r="S341" s="412"/>
      <c r="T341" s="412"/>
      <c r="U341" s="412"/>
      <c r="V341" s="412"/>
      <c r="W341" s="412"/>
      <c r="X341" s="412"/>
      <c r="Y341" s="412"/>
      <c r="Z341" s="412"/>
      <c r="AA341" s="412"/>
      <c r="AB341" s="412"/>
      <c r="AC341" s="412"/>
      <c r="AD341" s="412"/>
    </row>
    <row r="342" spans="1:30">
      <c r="A342" s="412"/>
      <c r="B342" s="412"/>
      <c r="C342" s="412" t="str">
        <f>'Templ-Mats'!B244</f>
        <v>C11c</v>
      </c>
      <c r="D342" s="412" t="str">
        <f>'Templ-Mats'!C244</f>
        <v>Composite 2-Core Filled Concrete Block Insulated #3</v>
      </c>
      <c r="E342" s="412"/>
      <c r="F342" s="418">
        <f>'Templ-Mats'!E244</f>
        <v>0</v>
      </c>
      <c r="G342" s="412">
        <f>'Templ-Mats'!J244</f>
        <v>0.97299999999999998</v>
      </c>
      <c r="H342" s="412">
        <f>'Templ-Mats'!G244</f>
        <v>89</v>
      </c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412"/>
      <c r="Z342" s="412"/>
      <c r="AA342" s="412"/>
      <c r="AB342" s="412"/>
      <c r="AC342" s="412"/>
      <c r="AD342" s="412"/>
    </row>
    <row r="343" spans="1:30">
      <c r="A343" s="412"/>
      <c r="B343" s="412"/>
      <c r="C343" s="412" t="str">
        <f>'Templ-Mats'!B245</f>
        <v>NM01</v>
      </c>
      <c r="D343" s="412" t="str">
        <f>'Templ-Mats'!C245</f>
        <v>Vaporpermeable felt</v>
      </c>
      <c r="E343" s="412"/>
      <c r="F343" s="418">
        <f>'Templ-Mats'!E245</f>
        <v>1.0999999999999999E-2</v>
      </c>
      <c r="G343" s="412">
        <f>'Templ-Mats'!J245</f>
        <v>0</v>
      </c>
      <c r="H343" s="412">
        <f>'Templ-Mats'!G245</f>
        <v>0</v>
      </c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412"/>
      <c r="AA343" s="412"/>
      <c r="AB343" s="412"/>
      <c r="AC343" s="412"/>
      <c r="AD343" s="412"/>
    </row>
    <row r="344" spans="1:30">
      <c r="A344" s="412"/>
      <c r="B344" s="412"/>
      <c r="C344" s="412" t="str">
        <f>'Templ-Mats'!B246</f>
        <v>NM02</v>
      </c>
      <c r="D344" s="412" t="str">
        <f>'Templ-Mats'!C246</f>
        <v>Vaporseal - 2 layers of mopped 0.73 kg/m2 felt</v>
      </c>
      <c r="E344" s="412"/>
      <c r="F344" s="418">
        <f>'Templ-Mats'!E246</f>
        <v>0.21</v>
      </c>
      <c r="G344" s="412">
        <f>'Templ-Mats'!J246</f>
        <v>0</v>
      </c>
      <c r="H344" s="412">
        <f>'Templ-Mats'!G246</f>
        <v>0</v>
      </c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412"/>
      <c r="AA344" s="412"/>
      <c r="AB344" s="412"/>
      <c r="AC344" s="412"/>
      <c r="AD344" s="412"/>
    </row>
    <row r="345" spans="1:30">
      <c r="A345" s="412"/>
      <c r="B345" s="412"/>
      <c r="C345" s="412" t="str">
        <f>'Templ-Mats'!B247</f>
        <v>NM03</v>
      </c>
      <c r="D345" s="412" t="str">
        <f>'Templ-Mats'!C247</f>
        <v>Vaporseal - plastic film</v>
      </c>
      <c r="E345" s="412"/>
      <c r="F345" s="418">
        <f>'Templ-Mats'!E247</f>
        <v>2E-3</v>
      </c>
      <c r="G345" s="412">
        <f>'Templ-Mats'!J247</f>
        <v>0</v>
      </c>
      <c r="H345" s="412">
        <f>'Templ-Mats'!G247</f>
        <v>0</v>
      </c>
      <c r="I345" s="412"/>
      <c r="J345" s="412"/>
      <c r="K345" s="412"/>
      <c r="L345" s="412"/>
      <c r="M345" s="412"/>
      <c r="N345" s="412"/>
      <c r="O345" s="412"/>
      <c r="P345" s="412"/>
      <c r="Q345" s="412"/>
      <c r="R345" s="412"/>
      <c r="S345" s="412"/>
      <c r="T345" s="412"/>
      <c r="U345" s="412"/>
      <c r="V345" s="412"/>
      <c r="W345" s="412"/>
      <c r="X345" s="412"/>
      <c r="Y345" s="412"/>
      <c r="Z345" s="412"/>
      <c r="AA345" s="412"/>
      <c r="AB345" s="412"/>
      <c r="AC345" s="412"/>
      <c r="AD345" s="412"/>
    </row>
    <row r="346" spans="1:30">
      <c r="A346" s="412"/>
      <c r="B346" s="412"/>
      <c r="C346" s="412" t="str">
        <f>'Templ-Mats'!B248</f>
        <v>NM04</v>
      </c>
      <c r="D346" s="412" t="str">
        <f>'Templ-Mats'!C248</f>
        <v>Carpet and fibrous pad</v>
      </c>
      <c r="E346" s="412"/>
      <c r="F346" s="418">
        <f>'Templ-Mats'!E248</f>
        <v>0.37</v>
      </c>
      <c r="G346" s="412">
        <f>'Templ-Mats'!J248</f>
        <v>0</v>
      </c>
      <c r="H346" s="412">
        <f>'Templ-Mats'!G248</f>
        <v>0</v>
      </c>
      <c r="I346" s="412"/>
      <c r="J346" s="412"/>
      <c r="K346" s="412"/>
      <c r="L346" s="412"/>
      <c r="M346" s="412"/>
      <c r="N346" s="412"/>
      <c r="O346" s="412"/>
      <c r="P346" s="412"/>
      <c r="Q346" s="412"/>
      <c r="R346" s="412"/>
      <c r="S346" s="412"/>
      <c r="T346" s="412"/>
      <c r="U346" s="412"/>
      <c r="V346" s="412"/>
      <c r="W346" s="412"/>
      <c r="X346" s="412"/>
      <c r="Y346" s="412"/>
      <c r="Z346" s="412"/>
      <c r="AA346" s="412"/>
      <c r="AB346" s="412"/>
      <c r="AC346" s="412"/>
      <c r="AD346" s="412"/>
    </row>
    <row r="347" spans="1:30">
      <c r="A347" s="412"/>
      <c r="B347" s="412"/>
      <c r="C347" s="412" t="str">
        <f>'Templ-Mats'!B249</f>
        <v>NM05</v>
      </c>
      <c r="D347" s="412" t="str">
        <f>'Templ-Mats'!C249</f>
        <v>Carpet and rubber pad</v>
      </c>
      <c r="E347" s="412"/>
      <c r="F347" s="418">
        <f>'Templ-Mats'!E249</f>
        <v>0.22</v>
      </c>
      <c r="G347" s="412">
        <f>'Templ-Mats'!J249</f>
        <v>0</v>
      </c>
      <c r="H347" s="412">
        <f>'Templ-Mats'!G249</f>
        <v>0</v>
      </c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412"/>
      <c r="Z347" s="412"/>
      <c r="AA347" s="412"/>
      <c r="AB347" s="412"/>
      <c r="AC347" s="412"/>
      <c r="AD347" s="412"/>
    </row>
    <row r="348" spans="1:30">
      <c r="A348" s="412"/>
      <c r="B348" s="412"/>
      <c r="C348" s="412" t="str">
        <f>'Templ-Mats'!B250</f>
        <v>NM06</v>
      </c>
      <c r="D348" s="412" t="str">
        <f>'Templ-Mats'!C250</f>
        <v>Cork tile - 3.2mm</v>
      </c>
      <c r="E348" s="412"/>
      <c r="F348" s="418">
        <f>'Templ-Mats'!E250</f>
        <v>4.9000000000000002E-2</v>
      </c>
      <c r="G348" s="412">
        <f>'Templ-Mats'!J250</f>
        <v>0</v>
      </c>
      <c r="H348" s="412">
        <f>'Templ-Mats'!G250</f>
        <v>0</v>
      </c>
      <c r="I348" s="412"/>
      <c r="J348" s="412"/>
      <c r="K348" s="412"/>
      <c r="L348" s="412"/>
      <c r="M348" s="412"/>
      <c r="N348" s="412"/>
      <c r="O348" s="412"/>
      <c r="P348" s="412"/>
      <c r="Q348" s="412"/>
      <c r="R348" s="412"/>
      <c r="S348" s="412"/>
      <c r="T348" s="412"/>
      <c r="U348" s="412"/>
      <c r="V348" s="412"/>
      <c r="W348" s="412"/>
      <c r="X348" s="412"/>
      <c r="Y348" s="412"/>
      <c r="Z348" s="412"/>
      <c r="AA348" s="412"/>
      <c r="AB348" s="412"/>
      <c r="AC348" s="412"/>
      <c r="AD348" s="412"/>
    </row>
    <row r="349" spans="1:30">
      <c r="A349" s="412"/>
      <c r="B349" s="412"/>
      <c r="C349" s="412" t="str">
        <f>'Templ-Mats'!B251</f>
        <v>NM07</v>
      </c>
      <c r="D349" s="412" t="str">
        <f>'Templ-Mats'!C251</f>
        <v>Terrazzo - 25mm</v>
      </c>
      <c r="E349" s="412"/>
      <c r="F349" s="418">
        <f>'Templ-Mats'!E251</f>
        <v>1.4E-2</v>
      </c>
      <c r="G349" s="412">
        <f>'Templ-Mats'!J251</f>
        <v>0</v>
      </c>
      <c r="H349" s="412">
        <f>'Templ-Mats'!G251</f>
        <v>0</v>
      </c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412"/>
      <c r="Z349" s="412"/>
      <c r="AA349" s="412"/>
      <c r="AB349" s="412"/>
      <c r="AC349" s="412"/>
      <c r="AD349" s="412"/>
    </row>
    <row r="350" spans="1:30">
      <c r="A350" s="412"/>
      <c r="B350" s="412"/>
      <c r="C350" s="412" t="str">
        <f>'Templ-Mats'!B252</f>
        <v>NM08</v>
      </c>
      <c r="D350" s="412" t="str">
        <f>'Templ-Mats'!C252</f>
        <v>Tile: asphalt - linoleum - vinyl - rubber</v>
      </c>
      <c r="E350" s="412"/>
      <c r="F350" s="418">
        <f>'Templ-Mats'!E252</f>
        <v>8.9999999999999993E-3</v>
      </c>
      <c r="G350" s="412">
        <f>'Templ-Mats'!J252</f>
        <v>0</v>
      </c>
      <c r="H350" s="412">
        <f>'Templ-Mats'!G252</f>
        <v>0</v>
      </c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412"/>
      <c r="AA350" s="412"/>
      <c r="AB350" s="412"/>
      <c r="AC350" s="412"/>
      <c r="AD350" s="412"/>
    </row>
    <row r="351" spans="1:30">
      <c r="A351" s="412"/>
      <c r="B351" s="412"/>
      <c r="C351" s="412" t="str">
        <f>'Templ-Mats'!B253</f>
        <v>NM09</v>
      </c>
      <c r="D351" s="412" t="str">
        <f>'Templ-Mats'!C253</f>
        <v>Tile: vinyl asbestos</v>
      </c>
      <c r="E351" s="412"/>
      <c r="F351" s="418">
        <f>'Templ-Mats'!E253</f>
        <v>8.9999999999999993E-3</v>
      </c>
      <c r="G351" s="412">
        <f>'Templ-Mats'!J253</f>
        <v>0</v>
      </c>
      <c r="H351" s="412">
        <f>'Templ-Mats'!G253</f>
        <v>0</v>
      </c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412"/>
      <c r="AA351" s="412"/>
      <c r="AB351" s="412"/>
      <c r="AC351" s="412"/>
      <c r="AD351" s="412"/>
    </row>
    <row r="352" spans="1:30">
      <c r="A352" s="412"/>
      <c r="B352" s="412"/>
      <c r="C352" s="412" t="str">
        <f>'Templ-Mats'!B254</f>
        <v>NM10</v>
      </c>
      <c r="D352" s="412" t="str">
        <f>'Templ-Mats'!C254</f>
        <v>Wood - hardwood finish - 19mm</v>
      </c>
      <c r="E352" s="412"/>
      <c r="F352" s="418">
        <f>'Templ-Mats'!E254</f>
        <v>0.12</v>
      </c>
      <c r="G352" s="412">
        <f>'Templ-Mats'!J254</f>
        <v>0</v>
      </c>
      <c r="H352" s="412">
        <f>'Templ-Mats'!G254</f>
        <v>0</v>
      </c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412"/>
      <c r="Z352" s="412"/>
      <c r="AA352" s="412"/>
      <c r="AB352" s="412"/>
      <c r="AC352" s="412"/>
      <c r="AD352" s="412"/>
    </row>
    <row r="353" spans="1:30">
      <c r="A353" s="412"/>
      <c r="B353" s="412"/>
      <c r="C353" s="412" t="str">
        <f>'Templ-Mats'!B255</f>
        <v>NM11</v>
      </c>
      <c r="D353" s="412" t="str">
        <f>'Templ-Mats'!C255</f>
        <v>Insulation: Mineral fiber - processed from rock - slag - or glass - 75-100mm 6.4-32 kg/m3</v>
      </c>
      <c r="E353" s="412"/>
      <c r="F353" s="418">
        <f>'Templ-Mats'!E255</f>
        <v>1.94</v>
      </c>
      <c r="G353" s="412">
        <f>'Templ-Mats'!J255</f>
        <v>0</v>
      </c>
      <c r="H353" s="412">
        <f>'Templ-Mats'!G255</f>
        <v>0</v>
      </c>
      <c r="I353" s="412"/>
      <c r="J353" s="412"/>
      <c r="K353" s="412"/>
      <c r="L353" s="412"/>
      <c r="M353" s="412"/>
      <c r="N353" s="412"/>
      <c r="O353" s="412"/>
      <c r="P353" s="412"/>
      <c r="Q353" s="412"/>
      <c r="R353" s="412"/>
      <c r="S353" s="412"/>
      <c r="T353" s="412"/>
      <c r="U353" s="412"/>
      <c r="V353" s="412"/>
      <c r="W353" s="412"/>
      <c r="X353" s="412"/>
      <c r="Y353" s="412"/>
      <c r="Z353" s="412"/>
      <c r="AA353" s="412"/>
      <c r="AB353" s="412"/>
      <c r="AC353" s="412"/>
      <c r="AD353" s="412"/>
    </row>
    <row r="354" spans="1:30">
      <c r="A354" s="412"/>
      <c r="B354" s="412"/>
      <c r="C354" s="412" t="str">
        <f>'Templ-Mats'!B256</f>
        <v>NM12</v>
      </c>
      <c r="D354" s="412" t="str">
        <f>'Templ-Mats'!C256</f>
        <v>Insulation: Mineral fiber - processed from rock - slag - or glass - 90mm -6.4-32 kg/m3</v>
      </c>
      <c r="E354" s="412"/>
      <c r="F354" s="418">
        <f>'Templ-Mats'!E256</f>
        <v>2.29</v>
      </c>
      <c r="G354" s="412">
        <f>'Templ-Mats'!J256</f>
        <v>0</v>
      </c>
      <c r="H354" s="412">
        <f>'Templ-Mats'!G256</f>
        <v>0</v>
      </c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412"/>
      <c r="Z354" s="412"/>
      <c r="AA354" s="412"/>
      <c r="AB354" s="412"/>
      <c r="AC354" s="412"/>
      <c r="AD354" s="412"/>
    </row>
    <row r="355" spans="1:30">
      <c r="A355" s="412"/>
      <c r="B355" s="412"/>
      <c r="C355" s="412" t="str">
        <f>'Templ-Mats'!B257</f>
        <v>NM13</v>
      </c>
      <c r="D355" s="412" t="str">
        <f>'Templ-Mats'!C257</f>
        <v>Insulation: Mineral fiber - processed from rock - slag - or glass - 90mm - 19-26 kg/m3</v>
      </c>
      <c r="E355" s="412"/>
      <c r="F355" s="418">
        <f>'Templ-Mats'!E257</f>
        <v>2.63</v>
      </c>
      <c r="G355" s="412">
        <f>'Templ-Mats'!J257</f>
        <v>0</v>
      </c>
      <c r="H355" s="412">
        <f>'Templ-Mats'!G257</f>
        <v>0</v>
      </c>
      <c r="I355" s="412"/>
      <c r="J355" s="412"/>
      <c r="K355" s="412"/>
      <c r="L355" s="412"/>
      <c r="M355" s="412"/>
      <c r="N355" s="412"/>
      <c r="O355" s="412"/>
      <c r="P355" s="412"/>
      <c r="Q355" s="412"/>
      <c r="R355" s="412"/>
      <c r="S355" s="412"/>
      <c r="T355" s="412"/>
      <c r="U355" s="412"/>
      <c r="V355" s="412"/>
      <c r="W355" s="412"/>
      <c r="X355" s="412"/>
      <c r="Y355" s="412"/>
      <c r="Z355" s="412"/>
      <c r="AA355" s="412"/>
      <c r="AB355" s="412"/>
      <c r="AC355" s="412"/>
      <c r="AD355" s="412"/>
    </row>
    <row r="356" spans="1:30">
      <c r="A356" s="412"/>
      <c r="B356" s="412"/>
      <c r="C356" s="412" t="str">
        <f>'Templ-Mats'!B258</f>
        <v>NM14</v>
      </c>
      <c r="D356" s="412" t="str">
        <f>'Templ-Mats'!C258</f>
        <v>Insulation: Mineral fiber - processed from rock - slag - or glass - 140-165mm - 6.4-32 kg/m3</v>
      </c>
      <c r="E356" s="412"/>
      <c r="F356" s="418">
        <f>'Templ-Mats'!E258</f>
        <v>3.32</v>
      </c>
      <c r="G356" s="412">
        <f>'Templ-Mats'!J258</f>
        <v>0</v>
      </c>
      <c r="H356" s="412">
        <f>'Templ-Mats'!G258</f>
        <v>0</v>
      </c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412"/>
      <c r="AA356" s="412"/>
      <c r="AB356" s="412"/>
      <c r="AC356" s="412"/>
      <c r="AD356" s="412"/>
    </row>
    <row r="357" spans="1:30">
      <c r="A357" s="412"/>
      <c r="B357" s="412"/>
      <c r="C357" s="412" t="str">
        <f>'Templ-Mats'!B259</f>
        <v>NM15</v>
      </c>
      <c r="D357" s="412" t="str">
        <f>'Templ-Mats'!C259</f>
        <v>Insulation: Mineral fiber - processed from rock - slag - or glass - 140mm - 10-26 kg/m3</v>
      </c>
      <c r="E357" s="412"/>
      <c r="F357" s="418">
        <f>'Templ-Mats'!E259</f>
        <v>3.67</v>
      </c>
      <c r="G357" s="412">
        <f>'Templ-Mats'!J259</f>
        <v>0</v>
      </c>
      <c r="H357" s="412">
        <f>'Templ-Mats'!G259</f>
        <v>0</v>
      </c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412"/>
      <c r="AA357" s="412"/>
      <c r="AB357" s="412"/>
      <c r="AC357" s="412"/>
      <c r="AD357" s="412"/>
    </row>
    <row r="358" spans="1:30">
      <c r="A358" s="412"/>
      <c r="B358" s="412"/>
      <c r="C358" s="412" t="str">
        <f>'Templ-Mats'!B260</f>
        <v>NM16</v>
      </c>
      <c r="D358" s="412" t="str">
        <f>'Templ-Mats'!C260</f>
        <v>Insulation: Mineral fiber - processed from rock - slag - or glass - 150-190mm - 6.4-32 kg/m3</v>
      </c>
      <c r="E358" s="412"/>
      <c r="F358" s="418">
        <f>'Templ-Mats'!E260</f>
        <v>3.91</v>
      </c>
      <c r="G358" s="412">
        <f>'Templ-Mats'!J260</f>
        <v>0</v>
      </c>
      <c r="H358" s="412">
        <f>'Templ-Mats'!G260</f>
        <v>0</v>
      </c>
      <c r="I358" s="412"/>
      <c r="J358" s="412"/>
      <c r="K358" s="412"/>
      <c r="L358" s="412"/>
      <c r="M358" s="412"/>
      <c r="N358" s="412"/>
      <c r="O358" s="412"/>
      <c r="P358" s="412"/>
      <c r="Q358" s="412"/>
      <c r="R358" s="412"/>
      <c r="S358" s="412"/>
      <c r="T358" s="412"/>
      <c r="U358" s="412"/>
      <c r="V358" s="412"/>
      <c r="W358" s="412"/>
      <c r="X358" s="412"/>
      <c r="Y358" s="412"/>
      <c r="Z358" s="412"/>
      <c r="AA358" s="412"/>
      <c r="AB358" s="412"/>
      <c r="AC358" s="412"/>
      <c r="AD358" s="412"/>
    </row>
    <row r="359" spans="1:30">
      <c r="A359" s="412"/>
      <c r="B359" s="412"/>
      <c r="C359" s="412" t="str">
        <f>'Templ-Mats'!B261</f>
        <v>NM17</v>
      </c>
      <c r="D359" s="412" t="str">
        <f>'Templ-Mats'!C261</f>
        <v>Insulation: Mineral fiber - processed from rock - slag - or glass - 210-250mm - 6.4-32 kg/m3</v>
      </c>
      <c r="E359" s="412"/>
      <c r="F359" s="418">
        <f>'Templ-Mats'!E261</f>
        <v>5.34</v>
      </c>
      <c r="G359" s="412">
        <f>'Templ-Mats'!J261</f>
        <v>0</v>
      </c>
      <c r="H359" s="412">
        <f>'Templ-Mats'!G261</f>
        <v>0</v>
      </c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412"/>
      <c r="Z359" s="412"/>
      <c r="AA359" s="412"/>
      <c r="AB359" s="412"/>
      <c r="AC359" s="412"/>
      <c r="AD359" s="412"/>
    </row>
    <row r="360" spans="1:30">
      <c r="A360" s="412"/>
      <c r="B360" s="412"/>
      <c r="C360" s="412" t="str">
        <f>'Templ-Mats'!B262</f>
        <v>NM18</v>
      </c>
      <c r="D360" s="412" t="str">
        <f>'Templ-Mats'!C262</f>
        <v>Insulation: Mineral fiber - processed from rock - slag - or glass - 250-330mm - 6.4-32 kg/m3</v>
      </c>
      <c r="E360" s="412"/>
      <c r="F360" s="418">
        <f>'Templ-Mats'!E262</f>
        <v>6.77</v>
      </c>
      <c r="G360" s="412">
        <f>'Templ-Mats'!J262</f>
        <v>0</v>
      </c>
      <c r="H360" s="412">
        <f>'Templ-Mats'!G262</f>
        <v>0</v>
      </c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412"/>
      <c r="Z360" s="412"/>
      <c r="AA360" s="412"/>
      <c r="AB360" s="412"/>
      <c r="AC360" s="412"/>
      <c r="AD360" s="412"/>
    </row>
    <row r="361" spans="1:30">
      <c r="A361" s="412"/>
      <c r="B361" s="412"/>
      <c r="C361" s="412" t="str">
        <f>'Templ-Mats'!B263</f>
        <v>NM19</v>
      </c>
      <c r="D361" s="412" t="str">
        <f>'Templ-Mats'!C263</f>
        <v>Acoustical tile - 12.7mm</v>
      </c>
      <c r="E361" s="412"/>
      <c r="F361" s="418">
        <f>'Templ-Mats'!E263</f>
        <v>0.22</v>
      </c>
      <c r="G361" s="412">
        <f>'Templ-Mats'!J263</f>
        <v>0</v>
      </c>
      <c r="H361" s="412">
        <f>'Templ-Mats'!G263</f>
        <v>0</v>
      </c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412"/>
      <c r="AA361" s="412"/>
      <c r="AB361" s="412"/>
      <c r="AC361" s="412"/>
      <c r="AD361" s="412"/>
    </row>
    <row r="362" spans="1:30">
      <c r="A362" s="412"/>
      <c r="B362" s="412"/>
      <c r="C362" s="412" t="str">
        <f>'Templ-Mats'!B264</f>
        <v>NM20</v>
      </c>
      <c r="D362" s="412" t="str">
        <f>'Templ-Mats'!C264</f>
        <v>Acoustical tile - 19mm</v>
      </c>
      <c r="E362" s="412"/>
      <c r="F362" s="418">
        <f>'Templ-Mats'!E264</f>
        <v>0.33</v>
      </c>
      <c r="G362" s="412">
        <f>'Templ-Mats'!J264</f>
        <v>0</v>
      </c>
      <c r="H362" s="412">
        <f>'Templ-Mats'!G264</f>
        <v>0</v>
      </c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412"/>
      <c r="AA362" s="412"/>
      <c r="AB362" s="412"/>
      <c r="AC362" s="412"/>
      <c r="AD362" s="412"/>
    </row>
    <row r="363" spans="1:30">
      <c r="A363" s="412"/>
      <c r="B363" s="412"/>
      <c r="C363" s="412" t="str">
        <f>'Templ-Mats'!B265</f>
        <v>NM21</v>
      </c>
      <c r="D363" s="412" t="str">
        <f>'Templ-Mats'!C265</f>
        <v>Mineral fiber (rock - slag - glass) - 95-130mm</v>
      </c>
      <c r="E363" s="412"/>
      <c r="F363" s="418">
        <f>'Templ-Mats'!E265</f>
        <v>1.94</v>
      </c>
      <c r="G363" s="412">
        <f>'Templ-Mats'!J265</f>
        <v>0</v>
      </c>
      <c r="H363" s="412">
        <f>'Templ-Mats'!G265</f>
        <v>0</v>
      </c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12"/>
      <c r="AB363" s="412"/>
      <c r="AC363" s="412"/>
      <c r="AD363" s="412"/>
    </row>
    <row r="364" spans="1:30">
      <c r="A364" s="412"/>
      <c r="B364" s="412"/>
      <c r="C364" s="412" t="str">
        <f>'Templ-Mats'!B266</f>
        <v>NM22</v>
      </c>
      <c r="D364" s="412" t="str">
        <f>'Templ-Mats'!C266</f>
        <v>Mineral fiber (rock - slag - glass) - 170-220mm</v>
      </c>
      <c r="E364" s="412"/>
      <c r="F364" s="418">
        <f>'Templ-Mats'!E266</f>
        <v>3.35</v>
      </c>
      <c r="G364" s="412">
        <f>'Templ-Mats'!J266</f>
        <v>0</v>
      </c>
      <c r="H364" s="412">
        <f>'Templ-Mats'!G266</f>
        <v>0</v>
      </c>
      <c r="I364" s="412"/>
      <c r="J364" s="412"/>
      <c r="K364" s="412"/>
      <c r="L364" s="412"/>
      <c r="M364" s="412"/>
      <c r="N364" s="412"/>
      <c r="O364" s="412"/>
      <c r="P364" s="412"/>
      <c r="Q364" s="412"/>
      <c r="R364" s="412"/>
      <c r="S364" s="412"/>
      <c r="T364" s="412"/>
      <c r="U364" s="412"/>
      <c r="V364" s="412"/>
      <c r="W364" s="412"/>
      <c r="X364" s="412"/>
      <c r="Y364" s="412"/>
      <c r="Z364" s="412"/>
      <c r="AA364" s="412"/>
      <c r="AB364" s="412"/>
      <c r="AC364" s="412"/>
      <c r="AD364" s="412"/>
    </row>
    <row r="365" spans="1:30">
      <c r="A365" s="412"/>
      <c r="B365" s="412"/>
      <c r="C365" s="412" t="str">
        <f>'Templ-Mats'!B267</f>
        <v>NM23</v>
      </c>
      <c r="D365" s="412" t="str">
        <f>'Templ-Mats'!C267</f>
        <v>Mineral fiber (rock - slag - glass) - 190-250mm</v>
      </c>
      <c r="E365" s="412"/>
      <c r="F365" s="418">
        <f>'Templ-Mats'!E267</f>
        <v>3.87</v>
      </c>
      <c r="G365" s="412">
        <f>'Templ-Mats'!J267</f>
        <v>0</v>
      </c>
      <c r="H365" s="412">
        <f>'Templ-Mats'!G267</f>
        <v>0</v>
      </c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412"/>
      <c r="Z365" s="412"/>
      <c r="AA365" s="412"/>
      <c r="AB365" s="412"/>
      <c r="AC365" s="412"/>
      <c r="AD365" s="412"/>
    </row>
    <row r="366" spans="1:30">
      <c r="A366" s="412"/>
      <c r="B366" s="412"/>
      <c r="C366" s="412" t="str">
        <f>'Templ-Mats'!B268</f>
        <v>NM24</v>
      </c>
      <c r="D366" s="412" t="str">
        <f>'Templ-Mats'!C268</f>
        <v>Mineral fiber (rock - slag - glass) - 260-350mm</v>
      </c>
      <c r="E366" s="412"/>
      <c r="F366" s="418">
        <f>'Templ-Mats'!E268</f>
        <v>5.28</v>
      </c>
      <c r="G366" s="412">
        <f>'Templ-Mats'!J268</f>
        <v>0</v>
      </c>
      <c r="H366" s="412">
        <f>'Templ-Mats'!G268</f>
        <v>0</v>
      </c>
      <c r="I366" s="412"/>
      <c r="J366" s="412"/>
      <c r="K366" s="412"/>
      <c r="L366" s="412"/>
      <c r="M366" s="412"/>
      <c r="N366" s="412"/>
      <c r="O366" s="412"/>
      <c r="P366" s="412"/>
      <c r="Q366" s="412"/>
      <c r="R366" s="412"/>
      <c r="S366" s="412"/>
      <c r="T366" s="412"/>
      <c r="U366" s="412"/>
      <c r="V366" s="412"/>
      <c r="W366" s="412"/>
      <c r="X366" s="412"/>
      <c r="Y366" s="412"/>
      <c r="Z366" s="412"/>
      <c r="AA366" s="412"/>
      <c r="AB366" s="412"/>
      <c r="AC366" s="412"/>
      <c r="AD366" s="412"/>
    </row>
    <row r="367" spans="1:30">
      <c r="A367" s="412"/>
      <c r="B367" s="412"/>
      <c r="C367" s="412" t="str">
        <f>'Templ-Mats'!B269</f>
        <v>NM25</v>
      </c>
      <c r="D367" s="412" t="str">
        <f>'Templ-Mats'!C269</f>
        <v>Mineral fiber (rock - slag - glass) - 90mm (closed sidewall application)</v>
      </c>
      <c r="E367" s="412"/>
      <c r="F367" s="418">
        <f>'Templ-Mats'!E269</f>
        <v>2.2999999999999998</v>
      </c>
      <c r="G367" s="412">
        <f>'Templ-Mats'!J269</f>
        <v>0</v>
      </c>
      <c r="H367" s="412">
        <f>'Templ-Mats'!G269</f>
        <v>0</v>
      </c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412"/>
      <c r="Z367" s="412"/>
      <c r="AA367" s="412"/>
      <c r="AB367" s="412"/>
      <c r="AC367" s="412"/>
      <c r="AD367" s="412"/>
    </row>
    <row r="368" spans="1:30">
      <c r="A368" s="412"/>
      <c r="B368" s="412"/>
      <c r="C368" s="412" t="str">
        <f>'Templ-Mats'!B270</f>
        <v>NM26</v>
      </c>
      <c r="D368" s="412" t="str">
        <f>'Templ-Mats'!C270</f>
        <v>Asbestos-cement shingles</v>
      </c>
      <c r="E368" s="412"/>
      <c r="F368" s="418">
        <f>'Templ-Mats'!E270</f>
        <v>3.6999999999999998E-2</v>
      </c>
      <c r="G368" s="412">
        <f>'Templ-Mats'!J270</f>
        <v>0</v>
      </c>
      <c r="H368" s="412">
        <f>'Templ-Mats'!G270</f>
        <v>0</v>
      </c>
      <c r="I368" s="412"/>
      <c r="J368" s="412"/>
      <c r="K368" s="412"/>
      <c r="L368" s="412"/>
      <c r="M368" s="412"/>
      <c r="N368" s="412"/>
      <c r="O368" s="412"/>
      <c r="P368" s="412"/>
      <c r="Q368" s="412"/>
      <c r="R368" s="412"/>
      <c r="S368" s="412"/>
      <c r="T368" s="412"/>
      <c r="U368" s="412"/>
      <c r="V368" s="412"/>
      <c r="W368" s="412"/>
      <c r="X368" s="412"/>
      <c r="Y368" s="412"/>
      <c r="Z368" s="412"/>
      <c r="AA368" s="412"/>
      <c r="AB368" s="412"/>
      <c r="AC368" s="412"/>
      <c r="AD368" s="412"/>
    </row>
    <row r="369" spans="1:30">
      <c r="A369" s="412"/>
      <c r="B369" s="412"/>
      <c r="C369" s="412" t="str">
        <f>'Templ-Mats'!B271</f>
        <v>NM27</v>
      </c>
      <c r="D369" s="412" t="str">
        <f>'Templ-Mats'!C271</f>
        <v>Asphalt roll roofing</v>
      </c>
      <c r="E369" s="412"/>
      <c r="F369" s="418">
        <f>'Templ-Mats'!E271</f>
        <v>2.5999999999999999E-2</v>
      </c>
      <c r="G369" s="412">
        <f>'Templ-Mats'!J271</f>
        <v>0</v>
      </c>
      <c r="H369" s="412">
        <f>'Templ-Mats'!G271</f>
        <v>0</v>
      </c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412"/>
      <c r="AA369" s="412"/>
      <c r="AB369" s="412"/>
      <c r="AC369" s="412"/>
      <c r="AD369" s="412"/>
    </row>
    <row r="370" spans="1:30">
      <c r="A370" s="412"/>
      <c r="B370" s="412"/>
      <c r="C370" s="412" t="str">
        <f>'Templ-Mats'!B272</f>
        <v>NM28</v>
      </c>
      <c r="D370" s="412" t="str">
        <f>'Templ-Mats'!C272</f>
        <v>Asphalt shingles</v>
      </c>
      <c r="E370" s="412"/>
      <c r="F370" s="418">
        <f>'Templ-Mats'!E272</f>
        <v>7.6999999999999999E-2</v>
      </c>
      <c r="G370" s="412">
        <f>'Templ-Mats'!J272</f>
        <v>0</v>
      </c>
      <c r="H370" s="412">
        <f>'Templ-Mats'!G272</f>
        <v>0</v>
      </c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412"/>
      <c r="AA370" s="412"/>
      <c r="AB370" s="412"/>
      <c r="AC370" s="412"/>
      <c r="AD370" s="412"/>
    </row>
    <row r="371" spans="1:30">
      <c r="A371" s="412"/>
      <c r="B371" s="412"/>
      <c r="C371" s="412" t="str">
        <f>'Templ-Mats'!B273</f>
        <v>NM29</v>
      </c>
      <c r="D371" s="412" t="str">
        <f>'Templ-Mats'!C273</f>
        <v>Built-up roofing - 10mm</v>
      </c>
      <c r="E371" s="412"/>
      <c r="F371" s="418">
        <f>'Templ-Mats'!E273</f>
        <v>5.8000000000000003E-2</v>
      </c>
      <c r="G371" s="412">
        <f>'Templ-Mats'!J273</f>
        <v>0</v>
      </c>
      <c r="H371" s="412">
        <f>'Templ-Mats'!G273</f>
        <v>0</v>
      </c>
      <c r="I371" s="412"/>
      <c r="J371" s="412"/>
      <c r="K371" s="412"/>
      <c r="L371" s="412"/>
      <c r="M371" s="412"/>
      <c r="N371" s="412"/>
      <c r="O371" s="412"/>
      <c r="P371" s="412"/>
      <c r="Q371" s="412"/>
      <c r="R371" s="412"/>
      <c r="S371" s="412"/>
      <c r="T371" s="412"/>
      <c r="U371" s="412"/>
      <c r="V371" s="412"/>
      <c r="W371" s="412"/>
      <c r="X371" s="412"/>
      <c r="Y371" s="412"/>
      <c r="Z371" s="412"/>
      <c r="AA371" s="412"/>
      <c r="AB371" s="412"/>
      <c r="AC371" s="412"/>
      <c r="AD371" s="412"/>
    </row>
    <row r="372" spans="1:30">
      <c r="A372" s="412"/>
      <c r="B372" s="412"/>
      <c r="C372" s="412" t="str">
        <f>'Templ-Mats'!B274</f>
        <v>NM30</v>
      </c>
      <c r="D372" s="412" t="str">
        <f>'Templ-Mats'!C274</f>
        <v>Slate - 13mm</v>
      </c>
      <c r="E372" s="412"/>
      <c r="F372" s="418">
        <f>'Templ-Mats'!E274</f>
        <v>8.9999999999999993E-3</v>
      </c>
      <c r="G372" s="412">
        <f>'Templ-Mats'!J274</f>
        <v>0</v>
      </c>
      <c r="H372" s="412">
        <f>'Templ-Mats'!G274</f>
        <v>0</v>
      </c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412"/>
      <c r="Z372" s="412"/>
      <c r="AA372" s="412"/>
      <c r="AB372" s="412"/>
      <c r="AC372" s="412"/>
      <c r="AD372" s="412"/>
    </row>
    <row r="373" spans="1:30">
      <c r="B373" s="412"/>
      <c r="C373" s="412"/>
      <c r="D373" s="412"/>
      <c r="E373" s="412"/>
      <c r="F373" s="418"/>
      <c r="G373" s="412"/>
      <c r="H373" s="412"/>
      <c r="I373" s="412"/>
      <c r="J373" s="412"/>
      <c r="K373" s="412"/>
      <c r="L373" s="412"/>
      <c r="M373" s="412"/>
      <c r="N373" s="412"/>
      <c r="O373" s="412"/>
      <c r="P373" s="412"/>
      <c r="Q373" s="412"/>
      <c r="R373" s="412"/>
      <c r="S373" s="412"/>
      <c r="T373" s="412"/>
      <c r="U373" s="412"/>
      <c r="V373" s="412"/>
      <c r="W373" s="412"/>
      <c r="X373" s="412"/>
      <c r="Y373" s="412"/>
      <c r="Z373" s="412"/>
      <c r="AA373" s="412"/>
      <c r="AB373" s="412"/>
      <c r="AC373" s="412"/>
      <c r="AD373" s="412"/>
    </row>
    <row r="374" spans="1:30">
      <c r="B374" s="412"/>
      <c r="C374" s="412"/>
      <c r="D374" s="412"/>
      <c r="E374" s="412"/>
      <c r="F374" s="418"/>
      <c r="G374" s="412"/>
      <c r="H374" s="412"/>
      <c r="I374" s="412"/>
      <c r="J374" s="412"/>
      <c r="K374" s="412"/>
      <c r="L374" s="412"/>
      <c r="M374" s="412"/>
      <c r="N374" s="412"/>
      <c r="O374" s="412"/>
      <c r="P374" s="412"/>
      <c r="Q374" s="412"/>
      <c r="R374" s="412"/>
      <c r="S374" s="412"/>
      <c r="T374" s="412"/>
      <c r="U374" s="412"/>
      <c r="V374" s="412"/>
      <c r="W374" s="412"/>
      <c r="X374" s="412"/>
      <c r="Y374" s="412"/>
      <c r="Z374" s="412"/>
      <c r="AA374" s="412"/>
      <c r="AB374" s="412"/>
      <c r="AC374" s="412"/>
      <c r="AD374" s="412"/>
    </row>
    <row r="375" spans="1:30">
      <c r="A375" s="412"/>
      <c r="B375" s="412"/>
      <c r="C375" s="412" t="s">
        <v>583</v>
      </c>
      <c r="D375" s="412" t="str">
        <f>VLOOKUP(C375,C83:E106,2,0)</f>
        <v>Wall air space resistance</v>
      </c>
      <c r="E375" s="412"/>
      <c r="F375" s="418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412"/>
      <c r="AA375" s="412"/>
      <c r="AB375" s="412"/>
      <c r="AC375" s="412"/>
      <c r="AD375" s="412"/>
    </row>
    <row r="376" spans="1:30">
      <c r="A376" s="412"/>
      <c r="B376" s="412"/>
      <c r="C376" s="412"/>
      <c r="D376" s="412"/>
      <c r="E376" s="412"/>
      <c r="F376" s="418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412"/>
      <c r="AA376" s="412"/>
      <c r="AB376" s="412"/>
      <c r="AC376" s="412"/>
      <c r="AD376" s="412"/>
    </row>
    <row r="377" spans="1:30">
      <c r="A377" s="412"/>
      <c r="B377" s="412"/>
      <c r="C377" s="412"/>
      <c r="D377" s="412"/>
      <c r="E377" s="412"/>
      <c r="F377" s="418"/>
      <c r="G377" s="412"/>
      <c r="H377" s="412"/>
      <c r="I377" s="412"/>
      <c r="J377" s="412"/>
      <c r="K377" s="412"/>
      <c r="L377" s="412"/>
      <c r="M377" s="412"/>
      <c r="N377" s="412"/>
      <c r="O377" s="412"/>
      <c r="P377" s="412"/>
      <c r="Q377" s="412"/>
      <c r="R377" s="412"/>
      <c r="S377" s="412"/>
      <c r="T377" s="412"/>
      <c r="U377" s="412"/>
      <c r="V377" s="412"/>
      <c r="W377" s="412"/>
      <c r="X377" s="412"/>
      <c r="Y377" s="412"/>
      <c r="Z377" s="412"/>
      <c r="AA377" s="412"/>
      <c r="AB377" s="412"/>
      <c r="AC377" s="412"/>
      <c r="AD377" s="412"/>
    </row>
    <row r="378" spans="1:30">
      <c r="A378" s="412"/>
      <c r="B378" s="412"/>
      <c r="C378" s="412"/>
      <c r="D378" s="412"/>
      <c r="E378" s="412"/>
      <c r="F378" s="418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412"/>
      <c r="Z378" s="412"/>
      <c r="AA378" s="412"/>
      <c r="AB378" s="412"/>
      <c r="AC378" s="412"/>
      <c r="AD378" s="412"/>
    </row>
    <row r="379" spans="1:30">
      <c r="A379" s="412"/>
      <c r="B379" s="412"/>
      <c r="C379" s="412"/>
      <c r="D379" s="412"/>
      <c r="E379" s="412"/>
      <c r="F379" s="418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412"/>
      <c r="Z379" s="412"/>
      <c r="AA379" s="412"/>
      <c r="AB379" s="412"/>
      <c r="AC379" s="412"/>
      <c r="AD379" s="412"/>
    </row>
    <row r="380" spans="1:30">
      <c r="A380" s="412"/>
      <c r="B380" s="412"/>
      <c r="C380" s="412"/>
      <c r="D380" s="412"/>
      <c r="E380" s="412"/>
      <c r="F380" s="418"/>
      <c r="G380" s="412"/>
      <c r="H380" s="412"/>
      <c r="I380" s="412"/>
      <c r="J380" s="412"/>
      <c r="K380" s="412"/>
      <c r="L380" s="412"/>
      <c r="M380" s="412"/>
      <c r="N380" s="412"/>
      <c r="O380" s="412"/>
      <c r="P380" s="412"/>
      <c r="Q380" s="412"/>
      <c r="R380" s="412"/>
      <c r="S380" s="412"/>
      <c r="T380" s="412"/>
      <c r="U380" s="412"/>
      <c r="V380" s="412"/>
      <c r="W380" s="412"/>
      <c r="X380" s="412"/>
      <c r="Y380" s="412"/>
      <c r="Z380" s="412"/>
      <c r="AA380" s="412"/>
      <c r="AB380" s="412"/>
      <c r="AC380" s="412"/>
      <c r="AD380" s="412"/>
    </row>
    <row r="381" spans="1:30">
      <c r="A381" s="412"/>
      <c r="B381" s="412"/>
      <c r="C381" s="412"/>
      <c r="D381" s="412"/>
      <c r="E381" s="412"/>
      <c r="F381" s="418"/>
      <c r="G381" s="412"/>
      <c r="H381" s="412"/>
      <c r="I381" s="412"/>
      <c r="J381" s="412"/>
      <c r="K381" s="412"/>
      <c r="L381" s="412"/>
      <c r="M381" s="412"/>
      <c r="N381" s="412"/>
      <c r="O381" s="412"/>
      <c r="P381" s="412"/>
      <c r="Q381" s="412"/>
      <c r="R381" s="412"/>
      <c r="S381" s="412"/>
      <c r="T381" s="412"/>
      <c r="U381" s="412"/>
      <c r="V381" s="412"/>
      <c r="W381" s="412"/>
      <c r="X381" s="412"/>
      <c r="Y381" s="412"/>
      <c r="Z381" s="412"/>
      <c r="AA381" s="412"/>
      <c r="AB381" s="412"/>
      <c r="AC381" s="412"/>
      <c r="AD381" s="412"/>
    </row>
    <row r="382" spans="1:30">
      <c r="A382" s="412"/>
      <c r="B382" s="412"/>
      <c r="C382" s="412"/>
      <c r="D382" s="412"/>
      <c r="E382" s="412"/>
      <c r="F382" s="418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412"/>
      <c r="Z382" s="412"/>
      <c r="AA382" s="412"/>
      <c r="AB382" s="412"/>
      <c r="AC382" s="412"/>
      <c r="AD382" s="412"/>
    </row>
    <row r="383" spans="1:30">
      <c r="A383" s="412"/>
      <c r="B383" s="412"/>
      <c r="C383" s="412"/>
      <c r="D383" s="412"/>
      <c r="E383" s="412"/>
      <c r="F383" s="418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12"/>
      <c r="AA383" s="412"/>
      <c r="AB383" s="412"/>
      <c r="AC383" s="412"/>
      <c r="AD383" s="412"/>
    </row>
    <row r="384" spans="1:30">
      <c r="A384" s="412"/>
      <c r="B384" s="412"/>
      <c r="C384" s="412"/>
      <c r="D384" s="412"/>
      <c r="E384" s="412"/>
      <c r="F384" s="418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412"/>
      <c r="AA384" s="412"/>
      <c r="AB384" s="412"/>
      <c r="AC384" s="412"/>
      <c r="AD384" s="412"/>
    </row>
    <row r="385" spans="1:30">
      <c r="A385" s="412"/>
      <c r="B385" s="412"/>
      <c r="C385" s="412"/>
      <c r="D385" s="412"/>
      <c r="E385" s="412"/>
      <c r="F385" s="418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412"/>
      <c r="Z385" s="412"/>
      <c r="AA385" s="412"/>
      <c r="AB385" s="412"/>
      <c r="AC385" s="412"/>
      <c r="AD385" s="412"/>
    </row>
    <row r="386" spans="1:30">
      <c r="A386" s="412"/>
      <c r="B386" s="412"/>
      <c r="C386" s="412"/>
      <c r="D386" s="412"/>
      <c r="E386" s="412"/>
      <c r="F386" s="418"/>
      <c r="G386" s="412"/>
      <c r="H386" s="412"/>
      <c r="I386" s="412"/>
      <c r="J386" s="412"/>
      <c r="K386" s="412"/>
      <c r="L386" s="412"/>
      <c r="M386" s="412"/>
      <c r="N386" s="412"/>
      <c r="O386" s="412"/>
      <c r="P386" s="412"/>
      <c r="Q386" s="412"/>
      <c r="R386" s="412"/>
      <c r="S386" s="412"/>
      <c r="T386" s="412"/>
      <c r="U386" s="412"/>
      <c r="V386" s="412"/>
      <c r="W386" s="412"/>
      <c r="X386" s="412"/>
      <c r="Y386" s="412"/>
      <c r="Z386" s="412"/>
      <c r="AA386" s="412"/>
      <c r="AB386" s="412"/>
      <c r="AC386" s="412"/>
      <c r="AD386" s="412"/>
    </row>
    <row r="387" spans="1:30">
      <c r="A387" s="412"/>
      <c r="B387" s="412"/>
      <c r="C387" s="412"/>
      <c r="D387" s="412"/>
      <c r="E387" s="412"/>
      <c r="F387" s="418"/>
      <c r="G387" s="412"/>
      <c r="H387" s="412"/>
      <c r="I387" s="412"/>
      <c r="J387" s="412"/>
      <c r="K387" s="412"/>
      <c r="L387" s="412"/>
      <c r="M387" s="412"/>
      <c r="N387" s="412"/>
      <c r="O387" s="412"/>
      <c r="P387" s="412"/>
      <c r="Q387" s="412"/>
      <c r="R387" s="412"/>
      <c r="S387" s="412"/>
      <c r="T387" s="412"/>
      <c r="U387" s="412"/>
      <c r="V387" s="412"/>
      <c r="W387" s="412"/>
      <c r="X387" s="412"/>
      <c r="Y387" s="412"/>
      <c r="Z387" s="412"/>
      <c r="AA387" s="412"/>
      <c r="AB387" s="412"/>
      <c r="AC387" s="412"/>
      <c r="AD387" s="412"/>
    </row>
    <row r="388" spans="1:30">
      <c r="A388" s="412"/>
      <c r="B388" s="412"/>
      <c r="C388" s="412"/>
      <c r="D388" s="412"/>
      <c r="E388" s="412"/>
      <c r="F388" s="418"/>
      <c r="G388" s="412"/>
      <c r="H388" s="412"/>
      <c r="I388" s="412"/>
      <c r="J388" s="412"/>
      <c r="K388" s="412"/>
      <c r="L388" s="412"/>
      <c r="M388" s="412"/>
      <c r="N388" s="412"/>
      <c r="O388" s="412"/>
      <c r="P388" s="412"/>
      <c r="Q388" s="412"/>
      <c r="R388" s="412"/>
      <c r="S388" s="412"/>
      <c r="T388" s="412"/>
      <c r="U388" s="412"/>
      <c r="V388" s="412"/>
      <c r="W388" s="412"/>
      <c r="X388" s="412"/>
      <c r="Y388" s="412"/>
      <c r="Z388" s="412"/>
      <c r="AA388" s="412"/>
      <c r="AB388" s="412"/>
      <c r="AC388" s="412"/>
      <c r="AD388" s="412"/>
    </row>
    <row r="389" spans="1:30">
      <c r="A389" s="412"/>
      <c r="B389" s="412"/>
      <c r="C389" s="412"/>
      <c r="D389" s="412"/>
      <c r="E389" s="412"/>
      <c r="F389" s="418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412"/>
      <c r="AA389" s="412"/>
      <c r="AB389" s="412"/>
      <c r="AC389" s="412"/>
      <c r="AD389" s="412"/>
    </row>
    <row r="390" spans="1:30">
      <c r="A390" s="412"/>
      <c r="B390" s="412"/>
      <c r="C390" s="412"/>
      <c r="D390" s="412"/>
      <c r="E390" s="412"/>
      <c r="F390" s="418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412"/>
      <c r="AA390" s="412"/>
      <c r="AB390" s="412"/>
      <c r="AC390" s="412"/>
      <c r="AD390" s="412"/>
    </row>
    <row r="391" spans="1:30">
      <c r="A391" s="412"/>
      <c r="B391" s="412"/>
      <c r="C391" s="412"/>
      <c r="D391" s="412"/>
      <c r="E391" s="412"/>
      <c r="F391" s="418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412"/>
      <c r="AA391" s="412"/>
      <c r="AB391" s="412"/>
      <c r="AC391" s="412"/>
      <c r="AD391" s="412"/>
    </row>
    <row r="392" spans="1:30">
      <c r="A392" s="412"/>
      <c r="B392" s="412"/>
      <c r="C392" s="412"/>
      <c r="D392" s="412"/>
      <c r="E392" s="412"/>
      <c r="F392" s="418"/>
      <c r="G392" s="412"/>
      <c r="H392" s="412"/>
      <c r="I392" s="412"/>
      <c r="J392" s="412"/>
      <c r="K392" s="412"/>
      <c r="L392" s="412"/>
      <c r="M392" s="412"/>
      <c r="N392" s="412"/>
      <c r="O392" s="412"/>
      <c r="P392" s="412"/>
      <c r="Q392" s="412"/>
      <c r="R392" s="412"/>
      <c r="S392" s="412"/>
      <c r="T392" s="412"/>
      <c r="U392" s="412"/>
      <c r="V392" s="412"/>
      <c r="W392" s="412"/>
      <c r="X392" s="412"/>
      <c r="Y392" s="412"/>
      <c r="Z392" s="412"/>
      <c r="AA392" s="412"/>
      <c r="AB392" s="412"/>
      <c r="AC392" s="412"/>
      <c r="AD392" s="412"/>
    </row>
    <row r="393" spans="1:30">
      <c r="A393" s="412"/>
      <c r="B393" s="412"/>
      <c r="C393" s="412"/>
      <c r="D393" s="412"/>
      <c r="E393" s="412"/>
      <c r="F393" s="418"/>
      <c r="G393" s="412"/>
      <c r="H393" s="412"/>
      <c r="I393" s="412"/>
      <c r="J393" s="412"/>
      <c r="K393" s="412"/>
      <c r="L393" s="412"/>
      <c r="M393" s="412"/>
      <c r="N393" s="412"/>
      <c r="O393" s="412"/>
      <c r="P393" s="412"/>
      <c r="Q393" s="412"/>
      <c r="R393" s="412"/>
      <c r="S393" s="412"/>
      <c r="T393" s="412"/>
      <c r="U393" s="412"/>
      <c r="V393" s="412"/>
      <c r="W393" s="412"/>
      <c r="X393" s="412"/>
      <c r="Y393" s="412"/>
      <c r="Z393" s="412"/>
      <c r="AA393" s="412"/>
      <c r="AB393" s="412"/>
      <c r="AC393" s="412"/>
      <c r="AD393" s="412"/>
    </row>
    <row r="394" spans="1:30">
      <c r="A394" s="412"/>
      <c r="B394" s="412"/>
      <c r="C394" s="412"/>
      <c r="D394" s="412"/>
      <c r="E394" s="412"/>
      <c r="F394" s="418"/>
      <c r="G394" s="412"/>
      <c r="H394" s="412"/>
      <c r="I394" s="412"/>
      <c r="J394" s="412"/>
      <c r="K394" s="412"/>
      <c r="L394" s="412"/>
      <c r="M394" s="412"/>
      <c r="N394" s="412"/>
      <c r="O394" s="412"/>
      <c r="P394" s="412"/>
      <c r="Q394" s="412"/>
      <c r="R394" s="412"/>
      <c r="S394" s="412"/>
      <c r="T394" s="412"/>
      <c r="U394" s="412"/>
      <c r="V394" s="412"/>
      <c r="W394" s="412"/>
      <c r="X394" s="412"/>
      <c r="Y394" s="412"/>
      <c r="Z394" s="412"/>
      <c r="AA394" s="412"/>
      <c r="AB394" s="412"/>
      <c r="AC394" s="412"/>
      <c r="AD394" s="412"/>
    </row>
    <row r="395" spans="1:30">
      <c r="A395" s="412"/>
      <c r="B395" s="412"/>
      <c r="C395" s="412"/>
      <c r="D395" s="412"/>
      <c r="E395" s="412"/>
      <c r="F395" s="418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412"/>
      <c r="AA395" s="412"/>
      <c r="AB395" s="412"/>
      <c r="AC395" s="412"/>
      <c r="AD395" s="412"/>
    </row>
    <row r="396" spans="1:30">
      <c r="A396" s="412"/>
      <c r="B396" s="412"/>
      <c r="C396" s="412"/>
      <c r="D396" s="412"/>
      <c r="E396" s="412"/>
      <c r="F396" s="418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412"/>
      <c r="AA396" s="412"/>
      <c r="AB396" s="412"/>
      <c r="AC396" s="412"/>
      <c r="AD396" s="412"/>
    </row>
    <row r="397" spans="1:30">
      <c r="A397" s="412"/>
      <c r="B397" s="412"/>
      <c r="C397" s="412"/>
      <c r="D397" s="412"/>
      <c r="E397" s="412"/>
      <c r="F397" s="418"/>
      <c r="G397" s="412"/>
      <c r="H397" s="412"/>
      <c r="I397" s="412"/>
      <c r="J397" s="412"/>
      <c r="K397" s="412"/>
      <c r="L397" s="412"/>
      <c r="M397" s="412"/>
      <c r="N397" s="412"/>
      <c r="O397" s="412"/>
      <c r="P397" s="412"/>
      <c r="Q397" s="412"/>
      <c r="R397" s="412"/>
      <c r="S397" s="412"/>
      <c r="T397" s="412"/>
      <c r="U397" s="412"/>
      <c r="V397" s="412"/>
      <c r="W397" s="412"/>
      <c r="X397" s="412"/>
      <c r="Y397" s="412"/>
      <c r="Z397" s="412"/>
      <c r="AA397" s="412"/>
      <c r="AB397" s="412"/>
      <c r="AC397" s="412"/>
      <c r="AD397" s="412"/>
    </row>
    <row r="398" spans="1:30">
      <c r="A398" s="412"/>
      <c r="B398" s="412"/>
      <c r="C398" s="412"/>
      <c r="D398" s="412"/>
      <c r="E398" s="412"/>
      <c r="F398" s="418"/>
      <c r="G398" s="412"/>
      <c r="H398" s="412"/>
      <c r="I398" s="412"/>
      <c r="J398" s="412"/>
      <c r="K398" s="412"/>
      <c r="L398" s="412"/>
      <c r="M398" s="412"/>
      <c r="N398" s="412"/>
      <c r="O398" s="412"/>
      <c r="P398" s="412"/>
      <c r="Q398" s="412"/>
      <c r="R398" s="412"/>
      <c r="S398" s="412"/>
      <c r="T398" s="412"/>
      <c r="U398" s="412"/>
      <c r="V398" s="412"/>
      <c r="W398" s="412"/>
      <c r="X398" s="412"/>
      <c r="Y398" s="412"/>
      <c r="Z398" s="412"/>
      <c r="AA398" s="412"/>
      <c r="AB398" s="412"/>
      <c r="AC398" s="412"/>
      <c r="AD398" s="412"/>
    </row>
    <row r="399" spans="1:30">
      <c r="A399" s="412"/>
      <c r="B399" s="412"/>
      <c r="C399" s="412"/>
      <c r="D399" s="412"/>
      <c r="E399" s="412"/>
      <c r="F399" s="418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412"/>
      <c r="Z399" s="412"/>
      <c r="AA399" s="412"/>
      <c r="AB399" s="412"/>
      <c r="AC399" s="412"/>
      <c r="AD399" s="412"/>
    </row>
    <row r="400" spans="1:30">
      <c r="A400" s="412"/>
      <c r="B400" s="412"/>
      <c r="C400" s="412"/>
      <c r="D400" s="412"/>
      <c r="E400" s="412"/>
      <c r="F400" s="418"/>
      <c r="G400" s="412"/>
      <c r="H400" s="412"/>
      <c r="I400" s="412"/>
      <c r="J400" s="412"/>
      <c r="K400" s="412"/>
      <c r="L400" s="412"/>
      <c r="M400" s="412"/>
      <c r="N400" s="412"/>
      <c r="O400" s="412"/>
      <c r="P400" s="412"/>
      <c r="Q400" s="412"/>
      <c r="R400" s="412"/>
      <c r="S400" s="412"/>
      <c r="T400" s="412"/>
      <c r="U400" s="412"/>
      <c r="V400" s="412"/>
      <c r="W400" s="412"/>
      <c r="X400" s="412"/>
      <c r="Y400" s="412"/>
      <c r="Z400" s="412"/>
      <c r="AA400" s="412"/>
      <c r="AB400" s="412"/>
      <c r="AC400" s="412"/>
      <c r="AD400" s="412"/>
    </row>
    <row r="401" spans="1:30">
      <c r="A401" s="412"/>
      <c r="B401" s="412"/>
      <c r="C401" s="412"/>
      <c r="D401" s="412"/>
      <c r="E401" s="412"/>
      <c r="F401" s="418"/>
      <c r="G401" s="412"/>
      <c r="H401" s="412"/>
      <c r="I401" s="412"/>
      <c r="J401" s="412"/>
      <c r="K401" s="412"/>
      <c r="L401" s="412"/>
      <c r="M401" s="412"/>
      <c r="N401" s="412"/>
      <c r="O401" s="412"/>
      <c r="P401" s="412"/>
      <c r="Q401" s="412"/>
      <c r="R401" s="412"/>
      <c r="S401" s="412"/>
      <c r="T401" s="412"/>
      <c r="U401" s="412"/>
      <c r="V401" s="412"/>
      <c r="W401" s="412"/>
      <c r="X401" s="412"/>
      <c r="Y401" s="412"/>
      <c r="Z401" s="412"/>
      <c r="AA401" s="412"/>
      <c r="AB401" s="412"/>
      <c r="AC401" s="412"/>
      <c r="AD401" s="412"/>
    </row>
    <row r="402" spans="1:30">
      <c r="A402" s="412"/>
      <c r="B402" s="412"/>
      <c r="C402" s="412"/>
      <c r="D402" s="412"/>
      <c r="E402" s="412"/>
      <c r="F402" s="418"/>
      <c r="G402" s="412"/>
      <c r="H402" s="412"/>
      <c r="I402" s="412"/>
      <c r="J402" s="412"/>
      <c r="K402" s="412"/>
      <c r="L402" s="412"/>
      <c r="M402" s="412"/>
      <c r="N402" s="412"/>
      <c r="O402" s="412"/>
      <c r="P402" s="412"/>
      <c r="Q402" s="412"/>
      <c r="R402" s="412"/>
      <c r="S402" s="412"/>
      <c r="T402" s="412"/>
      <c r="U402" s="412"/>
      <c r="V402" s="412"/>
      <c r="W402" s="412"/>
      <c r="X402" s="412"/>
      <c r="Y402" s="412"/>
      <c r="Z402" s="412"/>
      <c r="AA402" s="412"/>
      <c r="AB402" s="412"/>
      <c r="AC402" s="412"/>
      <c r="AD402" s="412"/>
    </row>
    <row r="403" spans="1:30">
      <c r="A403" s="412"/>
      <c r="B403" s="412"/>
      <c r="C403" s="412"/>
      <c r="D403" s="412"/>
      <c r="E403" s="412"/>
      <c r="F403" s="418"/>
      <c r="G403" s="412"/>
      <c r="H403" s="412"/>
      <c r="I403" s="412"/>
      <c r="J403" s="412"/>
      <c r="K403" s="412"/>
      <c r="L403" s="412"/>
      <c r="M403" s="412"/>
      <c r="N403" s="412"/>
      <c r="O403" s="412"/>
      <c r="P403" s="412"/>
      <c r="Q403" s="412"/>
      <c r="R403" s="412"/>
      <c r="S403" s="412"/>
      <c r="T403" s="412"/>
      <c r="U403" s="412"/>
      <c r="V403" s="412"/>
      <c r="W403" s="412"/>
      <c r="X403" s="412"/>
      <c r="Y403" s="412"/>
      <c r="Z403" s="412"/>
      <c r="AA403" s="412"/>
      <c r="AB403" s="412"/>
      <c r="AC403" s="412"/>
      <c r="AD403" s="412"/>
    </row>
    <row r="404" spans="1:30">
      <c r="A404" s="412"/>
      <c r="B404" s="412"/>
      <c r="C404" s="412"/>
      <c r="D404" s="412"/>
      <c r="E404" s="412"/>
      <c r="F404" s="418"/>
      <c r="G404" s="412"/>
      <c r="H404" s="412"/>
      <c r="I404" s="412"/>
      <c r="J404" s="412"/>
      <c r="K404" s="412"/>
      <c r="L404" s="412"/>
      <c r="M404" s="412"/>
      <c r="N404" s="412"/>
      <c r="O404" s="412"/>
      <c r="P404" s="412"/>
      <c r="Q404" s="412"/>
      <c r="R404" s="412"/>
      <c r="S404" s="412"/>
      <c r="T404" s="412"/>
      <c r="U404" s="412"/>
      <c r="V404" s="412"/>
      <c r="W404" s="412"/>
      <c r="X404" s="412"/>
      <c r="Y404" s="412"/>
      <c r="Z404" s="412"/>
      <c r="AA404" s="412"/>
      <c r="AB404" s="412"/>
      <c r="AC404" s="412"/>
      <c r="AD404" s="412"/>
    </row>
    <row r="405" spans="1:30">
      <c r="A405" s="412"/>
      <c r="B405" s="412"/>
      <c r="C405" s="412"/>
      <c r="D405" s="412"/>
      <c r="E405" s="412"/>
      <c r="F405" s="418"/>
      <c r="G405" s="412"/>
      <c r="H405" s="412"/>
      <c r="I405" s="412"/>
      <c r="J405" s="412"/>
      <c r="K405" s="412"/>
      <c r="L405" s="412"/>
      <c r="M405" s="412"/>
      <c r="N405" s="412"/>
      <c r="O405" s="412"/>
      <c r="P405" s="412"/>
      <c r="Q405" s="412"/>
      <c r="R405" s="412"/>
      <c r="S405" s="412"/>
      <c r="T405" s="412"/>
      <c r="U405" s="412"/>
      <c r="V405" s="412"/>
      <c r="W405" s="412"/>
      <c r="X405" s="412"/>
      <c r="Y405" s="412"/>
      <c r="Z405" s="412"/>
      <c r="AA405" s="412"/>
      <c r="AB405" s="412"/>
      <c r="AC405" s="412"/>
      <c r="AD405" s="412"/>
    </row>
    <row r="406" spans="1:30">
      <c r="C406" s="412"/>
      <c r="D406" s="246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412"/>
      <c r="Z406" s="412"/>
      <c r="AA406" s="412"/>
      <c r="AB406" s="412"/>
      <c r="AC406" s="412"/>
      <c r="AD406" s="412"/>
    </row>
    <row r="407" spans="1:30">
      <c r="B407" s="412"/>
      <c r="D407" s="246"/>
      <c r="E407" s="412"/>
      <c r="F407" s="412"/>
      <c r="G407" s="412"/>
      <c r="H407" s="412"/>
      <c r="I407" s="412"/>
      <c r="J407" s="412"/>
      <c r="K407" s="412"/>
      <c r="L407" s="412"/>
      <c r="M407" s="412"/>
      <c r="N407" s="412"/>
      <c r="O407" s="412"/>
      <c r="P407" s="412"/>
      <c r="Q407" s="412"/>
      <c r="R407" s="412"/>
      <c r="S407" s="412"/>
      <c r="T407" s="412"/>
      <c r="U407" s="412"/>
      <c r="V407" s="412"/>
      <c r="W407" s="412"/>
      <c r="X407" s="412"/>
      <c r="Y407" s="412"/>
      <c r="Z407" s="412"/>
      <c r="AA407" s="412"/>
      <c r="AB407" s="412"/>
      <c r="AC407" s="412"/>
      <c r="AD407" s="412"/>
    </row>
    <row r="408" spans="1:30">
      <c r="A408" s="412" t="s">
        <v>1169</v>
      </c>
      <c r="B408" s="412"/>
      <c r="C408" s="412" t="str">
        <f>""</f>
        <v/>
      </c>
      <c r="D408" s="412"/>
      <c r="E408" s="412"/>
      <c r="F408" s="412"/>
      <c r="G408" s="412"/>
      <c r="H408" s="412"/>
      <c r="I408" s="412"/>
      <c r="J408" s="412"/>
      <c r="K408" s="412"/>
      <c r="L408" s="412"/>
      <c r="M408" s="412"/>
      <c r="N408" s="412"/>
      <c r="O408" s="412"/>
      <c r="P408" s="412"/>
      <c r="Q408" s="412"/>
      <c r="R408" s="412"/>
      <c r="S408" s="412"/>
      <c r="T408" s="412"/>
      <c r="U408" s="412"/>
      <c r="V408" s="412"/>
      <c r="W408" s="412"/>
      <c r="X408" s="412"/>
      <c r="Y408" s="412"/>
      <c r="Z408" s="412"/>
      <c r="AA408" s="412"/>
      <c r="AB408" s="412"/>
      <c r="AC408" s="412"/>
      <c r="AD408" s="412"/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7"/>
  <sheetViews>
    <sheetView zoomScaleNormal="100" zoomScalePageLayoutView="60" workbookViewId="0">
      <selection activeCell="D10" sqref="D10"/>
    </sheetView>
  </sheetViews>
  <sheetFormatPr defaultRowHeight="14.25"/>
  <cols>
    <col min="1" max="1" width="1.125" style="1"/>
    <col min="2" max="2" width="1.5" style="1"/>
    <col min="3" max="3" width="4.5" style="1"/>
    <col min="4" max="4" width="11.625" style="1"/>
    <col min="5" max="7" width="9.5" style="1"/>
    <col min="8" max="8" width="6.875" style="1"/>
    <col min="9" max="9" width="7.5" style="1"/>
    <col min="10" max="10" width="6.75" style="1"/>
    <col min="11" max="11" width="8.125" style="1"/>
    <col min="12" max="12" width="9.5" style="1"/>
    <col min="13" max="15" width="7.25" style="1"/>
    <col min="16" max="16" width="10.25" style="1"/>
    <col min="17" max="17" width="27.75" style="1"/>
    <col min="18" max="1025" width="9.5" style="1"/>
  </cols>
  <sheetData>
    <row r="1" spans="1:21" s="2" customFormat="1" ht="33.75"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</row>
    <row r="2" spans="1:21" ht="20.25" customHeight="1">
      <c r="A2" s="75"/>
      <c r="C2" s="422" t="s">
        <v>109</v>
      </c>
      <c r="D2" s="422"/>
      <c r="E2" s="76"/>
      <c r="F2" s="76"/>
      <c r="G2" s="76"/>
      <c r="H2" s="77"/>
      <c r="I2" s="78"/>
      <c r="J2" s="78"/>
      <c r="K2" s="78"/>
      <c r="L2" s="78"/>
      <c r="M2" s="78"/>
      <c r="N2" s="77"/>
      <c r="O2" s="79"/>
      <c r="P2" s="79"/>
      <c r="Q2" s="80"/>
      <c r="R2" s="76"/>
      <c r="S2" s="76"/>
      <c r="U2" s="79"/>
    </row>
    <row r="3" spans="1:21" ht="21" customHeight="1">
      <c r="A3" s="75"/>
      <c r="B3" s="76"/>
      <c r="C3" s="423"/>
      <c r="D3" s="423"/>
      <c r="E3" s="423"/>
      <c r="F3" s="423"/>
      <c r="G3" s="423"/>
      <c r="H3" s="423"/>
      <c r="I3" s="424" t="s">
        <v>110</v>
      </c>
      <c r="J3" s="424"/>
      <c r="K3" s="424"/>
      <c r="L3" s="424"/>
      <c r="M3" s="424"/>
      <c r="N3" s="424"/>
      <c r="O3" s="424"/>
      <c r="P3" s="81"/>
      <c r="Q3" s="82"/>
    </row>
    <row r="4" spans="1:21" ht="43.5" customHeight="1">
      <c r="A4" s="75"/>
      <c r="B4" s="76"/>
      <c r="C4" s="83" t="s">
        <v>25</v>
      </c>
      <c r="D4" s="84" t="s">
        <v>111</v>
      </c>
      <c r="E4" s="84" t="s">
        <v>112</v>
      </c>
      <c r="F4" s="84" t="s">
        <v>113</v>
      </c>
      <c r="G4" s="85" t="s">
        <v>114</v>
      </c>
      <c r="H4" s="86" t="s">
        <v>115</v>
      </c>
      <c r="I4" s="87" t="s">
        <v>116</v>
      </c>
      <c r="J4" s="84" t="s">
        <v>117</v>
      </c>
      <c r="K4" s="84" t="s">
        <v>118</v>
      </c>
      <c r="L4" s="84" t="s">
        <v>119</v>
      </c>
      <c r="M4" s="84" t="s">
        <v>120</v>
      </c>
      <c r="N4" s="84" t="s">
        <v>121</v>
      </c>
      <c r="O4" s="84" t="s">
        <v>122</v>
      </c>
      <c r="P4" s="86" t="s">
        <v>123</v>
      </c>
      <c r="Q4" s="88" t="s">
        <v>35</v>
      </c>
    </row>
    <row r="5" spans="1:21" ht="15.75">
      <c r="A5" s="75"/>
      <c r="B5" s="76"/>
      <c r="C5" s="89"/>
      <c r="D5" s="90"/>
      <c r="E5" s="91"/>
      <c r="F5" s="91"/>
      <c r="G5" s="92"/>
      <c r="H5" s="93" t="s">
        <v>124</v>
      </c>
      <c r="I5" s="94" t="s">
        <v>125</v>
      </c>
      <c r="J5" s="95" t="s">
        <v>126</v>
      </c>
      <c r="K5" s="95" t="s">
        <v>127</v>
      </c>
      <c r="L5" s="95" t="s">
        <v>128</v>
      </c>
      <c r="M5" s="95" t="s">
        <v>129</v>
      </c>
      <c r="N5" s="95" t="s">
        <v>130</v>
      </c>
      <c r="O5" s="95" t="s">
        <v>131</v>
      </c>
      <c r="P5" s="93"/>
      <c r="Q5" s="96"/>
    </row>
    <row r="6" spans="1:21" ht="15">
      <c r="A6" s="75"/>
      <c r="B6" s="76"/>
      <c r="C6" s="97"/>
      <c r="D6" s="98"/>
      <c r="E6" s="99"/>
      <c r="F6" s="99"/>
      <c r="G6" s="99"/>
      <c r="H6" s="100"/>
      <c r="I6" s="101"/>
      <c r="J6" s="101"/>
      <c r="K6" s="101"/>
      <c r="L6" s="101"/>
      <c r="M6" s="101"/>
      <c r="N6" s="101"/>
      <c r="O6" s="101"/>
      <c r="P6" s="101"/>
      <c r="Q6" s="102"/>
    </row>
    <row r="7" spans="1:21">
      <c r="A7" s="75"/>
      <c r="B7" s="76"/>
      <c r="C7" s="103">
        <v>0</v>
      </c>
      <c r="D7" s="104" t="s">
        <v>132</v>
      </c>
      <c r="E7" s="104" t="s">
        <v>133</v>
      </c>
      <c r="F7" s="104"/>
      <c r="G7" s="104"/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/>
      <c r="N7" s="105"/>
      <c r="O7" s="105"/>
      <c r="P7" s="105"/>
      <c r="Q7" s="106"/>
    </row>
    <row r="8" spans="1:21">
      <c r="A8" s="75"/>
      <c r="B8" s="76"/>
      <c r="C8" s="107">
        <v>1</v>
      </c>
      <c r="D8" s="108" t="s">
        <v>134</v>
      </c>
      <c r="E8" s="108" t="s">
        <v>135</v>
      </c>
      <c r="F8" s="108"/>
      <c r="G8" s="108"/>
      <c r="H8" s="109">
        <v>0.85</v>
      </c>
      <c r="I8" s="105"/>
      <c r="J8" s="105"/>
      <c r="K8" s="105"/>
      <c r="L8" s="105"/>
      <c r="M8" s="110"/>
      <c r="N8" s="110"/>
      <c r="O8" s="110"/>
      <c r="P8" s="105"/>
      <c r="Q8" s="106"/>
    </row>
    <row r="9" spans="1:21" ht="36">
      <c r="A9" s="75"/>
      <c r="B9" s="76"/>
      <c r="C9" s="107">
        <v>2</v>
      </c>
      <c r="D9" s="108" t="s">
        <v>136</v>
      </c>
      <c r="E9" s="108"/>
      <c r="F9" s="108"/>
      <c r="G9" s="108"/>
      <c r="H9" s="109">
        <f t="shared" ref="H9:H15" si="0">IF(ISERR(1/L9*(I9/1000)),"",1/L9*(I9/1000))</f>
        <v>1.5</v>
      </c>
      <c r="I9" s="105">
        <v>75</v>
      </c>
      <c r="J9" s="105">
        <v>136</v>
      </c>
      <c r="K9" s="105">
        <v>750</v>
      </c>
      <c r="L9" s="105">
        <v>0.05</v>
      </c>
      <c r="M9" s="110"/>
      <c r="N9" s="110"/>
      <c r="O9" s="110"/>
      <c r="P9" s="105"/>
      <c r="Q9" s="106"/>
    </row>
    <row r="10" spans="1:21" ht="24">
      <c r="A10" s="75"/>
      <c r="B10" s="76"/>
      <c r="C10" s="107">
        <v>3</v>
      </c>
      <c r="D10" s="108" t="s">
        <v>137</v>
      </c>
      <c r="E10" s="108"/>
      <c r="F10" s="108"/>
      <c r="G10" s="108"/>
      <c r="H10" s="109">
        <f t="shared" si="0"/>
        <v>9.9375000000000005E-2</v>
      </c>
      <c r="I10" s="105">
        <v>15.9</v>
      </c>
      <c r="J10" s="105">
        <v>800</v>
      </c>
      <c r="K10" s="105">
        <v>1090</v>
      </c>
      <c r="L10" s="105">
        <v>0.16</v>
      </c>
      <c r="M10" s="110"/>
      <c r="N10" s="110"/>
      <c r="O10" s="110"/>
      <c r="P10" s="105"/>
      <c r="Q10" s="106"/>
    </row>
    <row r="11" spans="1:21" ht="24">
      <c r="A11" s="75"/>
      <c r="B11" s="76"/>
      <c r="C11" s="107">
        <v>4</v>
      </c>
      <c r="D11" s="108" t="s">
        <v>138</v>
      </c>
      <c r="E11" s="108"/>
      <c r="F11" s="108"/>
      <c r="G11" s="108"/>
      <c r="H11" s="109">
        <f t="shared" si="0"/>
        <v>0.08</v>
      </c>
      <c r="I11" s="105">
        <v>3.2</v>
      </c>
      <c r="J11" s="105">
        <v>1120</v>
      </c>
      <c r="K11" s="105">
        <v>1260</v>
      </c>
      <c r="L11" s="105">
        <v>0.04</v>
      </c>
      <c r="M11" s="110"/>
      <c r="N11" s="110"/>
      <c r="O11" s="110"/>
      <c r="P11" s="105"/>
      <c r="Q11" s="106"/>
    </row>
    <row r="12" spans="1:21" ht="24">
      <c r="A12" s="75"/>
      <c r="B12" s="76"/>
      <c r="C12" s="107">
        <v>5</v>
      </c>
      <c r="D12" s="108" t="s">
        <v>139</v>
      </c>
      <c r="E12" s="108"/>
      <c r="F12" s="108"/>
      <c r="G12" s="108"/>
      <c r="H12" s="109">
        <f t="shared" si="0"/>
        <v>0.13076923076923075</v>
      </c>
      <c r="I12" s="105">
        <v>102</v>
      </c>
      <c r="J12" s="105">
        <v>1760</v>
      </c>
      <c r="K12" s="105">
        <v>790</v>
      </c>
      <c r="L12" s="105">
        <v>0.78</v>
      </c>
      <c r="M12" s="110"/>
      <c r="N12" s="110"/>
      <c r="O12" s="110"/>
      <c r="P12" s="105"/>
      <c r="Q12" s="106"/>
    </row>
    <row r="13" spans="1:21">
      <c r="A13" s="75"/>
      <c r="B13" s="76"/>
      <c r="C13" s="107">
        <v>6</v>
      </c>
      <c r="D13" s="108"/>
      <c r="E13" s="108"/>
      <c r="F13" s="108">
        <v>5</v>
      </c>
      <c r="G13" s="108"/>
      <c r="H13" s="109" t="str">
        <f t="shared" si="0"/>
        <v/>
      </c>
      <c r="I13" s="105"/>
      <c r="J13" s="110"/>
      <c r="K13" s="110"/>
      <c r="L13" s="110"/>
      <c r="M13" s="110"/>
      <c r="N13" s="110"/>
      <c r="O13" s="110"/>
      <c r="P13" s="105"/>
      <c r="Q13" s="106"/>
    </row>
    <row r="14" spans="1:21">
      <c r="A14" s="75"/>
      <c r="B14" s="76"/>
      <c r="C14" s="107">
        <v>7</v>
      </c>
      <c r="D14" s="108"/>
      <c r="E14" s="108"/>
      <c r="F14" s="108"/>
      <c r="G14" s="108"/>
      <c r="H14" s="109" t="str">
        <f t="shared" si="0"/>
        <v/>
      </c>
      <c r="I14" s="105"/>
      <c r="J14" s="105"/>
      <c r="K14" s="105"/>
      <c r="L14" s="105"/>
      <c r="M14" s="110"/>
      <c r="N14" s="110"/>
      <c r="O14" s="110"/>
      <c r="P14" s="105"/>
      <c r="Q14" s="106"/>
    </row>
    <row r="15" spans="1:21">
      <c r="A15" s="75"/>
      <c r="B15" s="76"/>
      <c r="C15" s="107">
        <v>8</v>
      </c>
      <c r="D15" s="108"/>
      <c r="E15" s="108"/>
      <c r="F15" s="108"/>
      <c r="G15" s="108"/>
      <c r="H15" s="109" t="str">
        <f t="shared" si="0"/>
        <v/>
      </c>
      <c r="I15" s="105"/>
      <c r="J15" s="105"/>
      <c r="K15" s="105"/>
      <c r="L15" s="105"/>
      <c r="M15" s="110"/>
      <c r="N15" s="110"/>
      <c r="O15" s="110"/>
      <c r="P15" s="105"/>
      <c r="Q15" s="106"/>
    </row>
    <row r="16" spans="1:21">
      <c r="A16" s="75"/>
      <c r="B16" s="76"/>
      <c r="C16" s="107">
        <f t="shared" ref="C16:C47" si="1">C15+1</f>
        <v>9</v>
      </c>
      <c r="D16" s="108"/>
      <c r="E16" s="108"/>
      <c r="F16" s="108"/>
      <c r="G16" s="108"/>
      <c r="H16" s="109"/>
      <c r="I16" s="105"/>
      <c r="J16" s="105"/>
      <c r="K16" s="105"/>
      <c r="L16" s="105"/>
      <c r="M16" s="110"/>
      <c r="N16" s="110"/>
      <c r="O16" s="110"/>
      <c r="P16" s="105"/>
      <c r="Q16" s="106"/>
    </row>
    <row r="17" spans="1:17">
      <c r="A17" s="75"/>
      <c r="B17" s="76"/>
      <c r="C17" s="107">
        <f t="shared" si="1"/>
        <v>10</v>
      </c>
      <c r="D17" s="108"/>
      <c r="E17" s="108"/>
      <c r="F17" s="108"/>
      <c r="G17" s="108"/>
      <c r="H17" s="109" t="str">
        <f t="shared" ref="H17:H48" si="2">IF(ISERR(1/L17*(I17/1000)),"",1/L17*(I17/1000))</f>
        <v/>
      </c>
      <c r="I17" s="105"/>
      <c r="J17" s="105"/>
      <c r="K17" s="105"/>
      <c r="L17" s="105"/>
      <c r="M17" s="110"/>
      <c r="N17" s="110"/>
      <c r="O17" s="110"/>
      <c r="P17" s="105"/>
      <c r="Q17" s="106"/>
    </row>
    <row r="18" spans="1:17">
      <c r="A18" s="75"/>
      <c r="B18" s="76"/>
      <c r="C18" s="107">
        <f t="shared" si="1"/>
        <v>11</v>
      </c>
      <c r="D18" s="108"/>
      <c r="E18" s="108"/>
      <c r="F18" s="108"/>
      <c r="G18" s="108"/>
      <c r="H18" s="109" t="str">
        <f t="shared" si="2"/>
        <v/>
      </c>
      <c r="I18" s="105"/>
      <c r="J18" s="105"/>
      <c r="K18" s="105"/>
      <c r="L18" s="105"/>
      <c r="M18" s="110"/>
      <c r="N18" s="110"/>
      <c r="O18" s="110"/>
      <c r="P18" s="105"/>
      <c r="Q18" s="106"/>
    </row>
    <row r="19" spans="1:17">
      <c r="A19" s="75"/>
      <c r="B19" s="76"/>
      <c r="C19" s="107">
        <f t="shared" si="1"/>
        <v>12</v>
      </c>
      <c r="D19" s="108"/>
      <c r="E19" s="108"/>
      <c r="F19" s="108"/>
      <c r="G19" s="108"/>
      <c r="H19" s="109" t="str">
        <f t="shared" si="2"/>
        <v/>
      </c>
      <c r="I19" s="105"/>
      <c r="J19" s="105"/>
      <c r="K19" s="105"/>
      <c r="L19" s="105"/>
      <c r="M19" s="110"/>
      <c r="N19" s="110"/>
      <c r="O19" s="110"/>
      <c r="P19" s="105"/>
      <c r="Q19" s="106"/>
    </row>
    <row r="20" spans="1:17">
      <c r="A20" s="75"/>
      <c r="B20" s="76"/>
      <c r="C20" s="107">
        <f t="shared" si="1"/>
        <v>13</v>
      </c>
      <c r="D20" s="108"/>
      <c r="E20" s="108"/>
      <c r="F20" s="108"/>
      <c r="G20" s="108"/>
      <c r="H20" s="109" t="str">
        <f t="shared" si="2"/>
        <v/>
      </c>
      <c r="I20" s="105"/>
      <c r="J20" s="105"/>
      <c r="K20" s="105"/>
      <c r="L20" s="105"/>
      <c r="M20" s="110"/>
      <c r="N20" s="110"/>
      <c r="O20" s="110"/>
      <c r="P20" s="105"/>
      <c r="Q20" s="106"/>
    </row>
    <row r="21" spans="1:17">
      <c r="A21" s="75"/>
      <c r="B21" s="76"/>
      <c r="C21" s="107">
        <f t="shared" si="1"/>
        <v>14</v>
      </c>
      <c r="D21" s="108"/>
      <c r="E21" s="108"/>
      <c r="F21" s="108"/>
      <c r="G21" s="108"/>
      <c r="H21" s="109" t="str">
        <f t="shared" si="2"/>
        <v/>
      </c>
      <c r="I21" s="105"/>
      <c r="J21" s="105"/>
      <c r="K21" s="105"/>
      <c r="L21" s="105"/>
      <c r="M21" s="110"/>
      <c r="N21" s="110"/>
      <c r="O21" s="110"/>
      <c r="P21" s="105"/>
      <c r="Q21" s="106"/>
    </row>
    <row r="22" spans="1:17">
      <c r="A22" s="75"/>
      <c r="B22" s="76"/>
      <c r="C22" s="107">
        <f t="shared" si="1"/>
        <v>15</v>
      </c>
      <c r="D22" s="108"/>
      <c r="E22" s="108"/>
      <c r="F22" s="108"/>
      <c r="G22" s="108"/>
      <c r="H22" s="109" t="str">
        <f t="shared" si="2"/>
        <v/>
      </c>
      <c r="I22" s="105"/>
      <c r="J22" s="105"/>
      <c r="K22" s="105"/>
      <c r="L22" s="105"/>
      <c r="M22" s="110"/>
      <c r="N22" s="110"/>
      <c r="O22" s="110"/>
      <c r="P22" s="105"/>
      <c r="Q22" s="106"/>
    </row>
    <row r="23" spans="1:17">
      <c r="A23" s="75"/>
      <c r="B23" s="76"/>
      <c r="C23" s="107">
        <f t="shared" si="1"/>
        <v>16</v>
      </c>
      <c r="D23" s="108"/>
      <c r="E23" s="108"/>
      <c r="F23" s="108"/>
      <c r="G23" s="108"/>
      <c r="H23" s="109" t="str">
        <f t="shared" si="2"/>
        <v/>
      </c>
      <c r="I23" s="105"/>
      <c r="J23" s="105"/>
      <c r="K23" s="105"/>
      <c r="L23" s="105"/>
      <c r="M23" s="110"/>
      <c r="N23" s="110"/>
      <c r="O23" s="110"/>
      <c r="P23" s="105"/>
      <c r="Q23" s="106"/>
    </row>
    <row r="24" spans="1:17">
      <c r="A24" s="75"/>
      <c r="B24" s="76"/>
      <c r="C24" s="107">
        <f t="shared" si="1"/>
        <v>17</v>
      </c>
      <c r="D24" s="108"/>
      <c r="E24" s="108"/>
      <c r="F24" s="108"/>
      <c r="G24" s="108"/>
      <c r="H24" s="109" t="str">
        <f t="shared" si="2"/>
        <v/>
      </c>
      <c r="I24" s="105"/>
      <c r="J24" s="105"/>
      <c r="K24" s="105"/>
      <c r="L24" s="105"/>
      <c r="M24" s="110"/>
      <c r="N24" s="110"/>
      <c r="O24" s="110"/>
      <c r="P24" s="105"/>
      <c r="Q24" s="106"/>
    </row>
    <row r="25" spans="1:17">
      <c r="A25" s="75"/>
      <c r="B25" s="76"/>
      <c r="C25" s="107">
        <f t="shared" si="1"/>
        <v>18</v>
      </c>
      <c r="D25" s="108"/>
      <c r="E25" s="108"/>
      <c r="F25" s="108"/>
      <c r="G25" s="108"/>
      <c r="H25" s="109" t="str">
        <f t="shared" si="2"/>
        <v/>
      </c>
      <c r="I25" s="105"/>
      <c r="J25" s="105"/>
      <c r="K25" s="105"/>
      <c r="L25" s="105"/>
      <c r="M25" s="110"/>
      <c r="N25" s="110"/>
      <c r="O25" s="110"/>
      <c r="P25" s="105"/>
      <c r="Q25" s="106"/>
    </row>
    <row r="26" spans="1:17">
      <c r="A26" s="75"/>
      <c r="B26" s="76"/>
      <c r="C26" s="107">
        <f t="shared" si="1"/>
        <v>19</v>
      </c>
      <c r="D26" s="108"/>
      <c r="E26" s="108"/>
      <c r="F26" s="108"/>
      <c r="G26" s="108"/>
      <c r="H26" s="109" t="str">
        <f t="shared" si="2"/>
        <v/>
      </c>
      <c r="I26" s="105"/>
      <c r="J26" s="105"/>
      <c r="K26" s="105"/>
      <c r="L26" s="105"/>
      <c r="M26" s="110"/>
      <c r="N26" s="110"/>
      <c r="O26" s="110"/>
      <c r="P26" s="105"/>
      <c r="Q26" s="106"/>
    </row>
    <row r="27" spans="1:17">
      <c r="A27" s="75"/>
      <c r="B27" s="76"/>
      <c r="C27" s="107">
        <f t="shared" si="1"/>
        <v>20</v>
      </c>
      <c r="D27" s="108"/>
      <c r="E27" s="108"/>
      <c r="F27" s="108"/>
      <c r="G27" s="108"/>
      <c r="H27" s="109" t="str">
        <f t="shared" si="2"/>
        <v/>
      </c>
      <c r="I27" s="105"/>
      <c r="J27" s="105"/>
      <c r="K27" s="105"/>
      <c r="L27" s="105"/>
      <c r="M27" s="110"/>
      <c r="N27" s="110"/>
      <c r="O27" s="110"/>
      <c r="P27" s="105"/>
      <c r="Q27" s="106"/>
    </row>
    <row r="28" spans="1:17">
      <c r="A28" s="75"/>
      <c r="B28" s="76"/>
      <c r="C28" s="107">
        <f t="shared" si="1"/>
        <v>21</v>
      </c>
      <c r="D28" s="108"/>
      <c r="E28" s="108"/>
      <c r="F28" s="108"/>
      <c r="G28" s="108"/>
      <c r="H28" s="109" t="str">
        <f t="shared" si="2"/>
        <v/>
      </c>
      <c r="I28" s="105"/>
      <c r="J28" s="105"/>
      <c r="K28" s="105"/>
      <c r="L28" s="105"/>
      <c r="M28" s="110"/>
      <c r="N28" s="110"/>
      <c r="O28" s="110"/>
      <c r="P28" s="105"/>
      <c r="Q28" s="106"/>
    </row>
    <row r="29" spans="1:17">
      <c r="A29" s="75"/>
      <c r="B29" s="76"/>
      <c r="C29" s="107">
        <f t="shared" si="1"/>
        <v>22</v>
      </c>
      <c r="D29" s="108"/>
      <c r="E29" s="108"/>
      <c r="F29" s="108"/>
      <c r="G29" s="108"/>
      <c r="H29" s="109" t="str">
        <f t="shared" si="2"/>
        <v/>
      </c>
      <c r="I29" s="105"/>
      <c r="J29" s="105"/>
      <c r="K29" s="105"/>
      <c r="L29" s="105"/>
      <c r="M29" s="110"/>
      <c r="N29" s="110"/>
      <c r="O29" s="110"/>
      <c r="P29" s="105"/>
      <c r="Q29" s="106"/>
    </row>
    <row r="30" spans="1:17">
      <c r="A30" s="75"/>
      <c r="B30" s="76"/>
      <c r="C30" s="107">
        <f t="shared" si="1"/>
        <v>23</v>
      </c>
      <c r="D30" s="108"/>
      <c r="E30" s="108"/>
      <c r="F30" s="108"/>
      <c r="G30" s="108"/>
      <c r="H30" s="109" t="str">
        <f t="shared" si="2"/>
        <v/>
      </c>
      <c r="I30" s="105"/>
      <c r="J30" s="105"/>
      <c r="K30" s="105"/>
      <c r="L30" s="105"/>
      <c r="M30" s="110"/>
      <c r="N30" s="110"/>
      <c r="O30" s="110"/>
      <c r="P30" s="105"/>
      <c r="Q30" s="106"/>
    </row>
    <row r="31" spans="1:17">
      <c r="A31" s="75"/>
      <c r="B31" s="76"/>
      <c r="C31" s="107">
        <f t="shared" si="1"/>
        <v>24</v>
      </c>
      <c r="D31" s="108"/>
      <c r="E31" s="108"/>
      <c r="F31" s="108"/>
      <c r="G31" s="108"/>
      <c r="H31" s="109" t="str">
        <f t="shared" si="2"/>
        <v/>
      </c>
      <c r="I31" s="105"/>
      <c r="J31" s="105"/>
      <c r="K31" s="105"/>
      <c r="L31" s="105"/>
      <c r="M31" s="110"/>
      <c r="N31" s="110"/>
      <c r="O31" s="110"/>
      <c r="P31" s="105"/>
      <c r="Q31" s="106"/>
    </row>
    <row r="32" spans="1:17">
      <c r="A32" s="75"/>
      <c r="B32" s="76"/>
      <c r="C32" s="107">
        <f t="shared" si="1"/>
        <v>25</v>
      </c>
      <c r="D32" s="108"/>
      <c r="E32" s="108"/>
      <c r="F32" s="108"/>
      <c r="G32" s="108"/>
      <c r="H32" s="109" t="str">
        <f t="shared" si="2"/>
        <v/>
      </c>
      <c r="I32" s="105"/>
      <c r="J32" s="105"/>
      <c r="K32" s="105"/>
      <c r="L32" s="105"/>
      <c r="M32" s="110"/>
      <c r="N32" s="110"/>
      <c r="O32" s="110"/>
      <c r="P32" s="105"/>
      <c r="Q32" s="106"/>
    </row>
    <row r="33" spans="1:17">
      <c r="A33" s="75"/>
      <c r="B33" s="76"/>
      <c r="C33" s="107">
        <f t="shared" si="1"/>
        <v>26</v>
      </c>
      <c r="D33" s="108"/>
      <c r="E33" s="108"/>
      <c r="F33" s="108"/>
      <c r="G33" s="108"/>
      <c r="H33" s="109" t="str">
        <f t="shared" si="2"/>
        <v/>
      </c>
      <c r="I33" s="105"/>
      <c r="J33" s="105"/>
      <c r="K33" s="105"/>
      <c r="L33" s="105"/>
      <c r="M33" s="110"/>
      <c r="N33" s="110"/>
      <c r="O33" s="110"/>
      <c r="P33" s="105"/>
      <c r="Q33" s="106"/>
    </row>
    <row r="34" spans="1:17">
      <c r="A34" s="75"/>
      <c r="B34" s="76"/>
      <c r="C34" s="107">
        <f t="shared" si="1"/>
        <v>27</v>
      </c>
      <c r="D34" s="108"/>
      <c r="E34" s="108"/>
      <c r="F34" s="108"/>
      <c r="G34" s="108"/>
      <c r="H34" s="109" t="str">
        <f t="shared" si="2"/>
        <v/>
      </c>
      <c r="I34" s="105"/>
      <c r="J34" s="105"/>
      <c r="K34" s="105"/>
      <c r="L34" s="105"/>
      <c r="M34" s="110"/>
      <c r="N34" s="110"/>
      <c r="O34" s="110"/>
      <c r="P34" s="105"/>
      <c r="Q34" s="106"/>
    </row>
    <row r="35" spans="1:17">
      <c r="A35" s="75"/>
      <c r="B35" s="76"/>
      <c r="C35" s="107">
        <f t="shared" si="1"/>
        <v>28</v>
      </c>
      <c r="D35" s="108"/>
      <c r="E35" s="108"/>
      <c r="F35" s="108"/>
      <c r="G35" s="108"/>
      <c r="H35" s="109" t="str">
        <f t="shared" si="2"/>
        <v/>
      </c>
      <c r="I35" s="105"/>
      <c r="J35" s="105"/>
      <c r="K35" s="105"/>
      <c r="L35" s="105"/>
      <c r="M35" s="110"/>
      <c r="N35" s="110"/>
      <c r="O35" s="110"/>
      <c r="P35" s="105"/>
      <c r="Q35" s="106"/>
    </row>
    <row r="36" spans="1:17">
      <c r="A36" s="75"/>
      <c r="B36" s="76"/>
      <c r="C36" s="107">
        <f t="shared" si="1"/>
        <v>29</v>
      </c>
      <c r="D36" s="108"/>
      <c r="E36" s="108"/>
      <c r="F36" s="108"/>
      <c r="G36" s="108"/>
      <c r="H36" s="109" t="str">
        <f t="shared" si="2"/>
        <v/>
      </c>
      <c r="I36" s="105"/>
      <c r="J36" s="105"/>
      <c r="K36" s="105"/>
      <c r="L36" s="105"/>
      <c r="M36" s="110"/>
      <c r="N36" s="110"/>
      <c r="O36" s="110"/>
      <c r="P36" s="105"/>
      <c r="Q36" s="106"/>
    </row>
    <row r="37" spans="1:17">
      <c r="A37" s="75"/>
      <c r="B37" s="76"/>
      <c r="C37" s="107">
        <f t="shared" si="1"/>
        <v>30</v>
      </c>
      <c r="D37" s="108"/>
      <c r="E37" s="108"/>
      <c r="F37" s="108"/>
      <c r="G37" s="108"/>
      <c r="H37" s="109" t="str">
        <f t="shared" si="2"/>
        <v/>
      </c>
      <c r="I37" s="105"/>
      <c r="J37" s="105"/>
      <c r="K37" s="105"/>
      <c r="L37" s="105"/>
      <c r="M37" s="110"/>
      <c r="N37" s="110"/>
      <c r="O37" s="110"/>
      <c r="P37" s="105"/>
      <c r="Q37" s="106"/>
    </row>
    <row r="38" spans="1:17">
      <c r="A38" s="75"/>
      <c r="B38" s="76"/>
      <c r="C38" s="107">
        <f t="shared" si="1"/>
        <v>31</v>
      </c>
      <c r="D38" s="108"/>
      <c r="E38" s="108"/>
      <c r="F38" s="108"/>
      <c r="G38" s="108"/>
      <c r="H38" s="109" t="str">
        <f t="shared" si="2"/>
        <v/>
      </c>
      <c r="I38" s="105"/>
      <c r="J38" s="105"/>
      <c r="K38" s="105"/>
      <c r="L38" s="105"/>
      <c r="M38" s="110"/>
      <c r="N38" s="110"/>
      <c r="O38" s="110"/>
      <c r="P38" s="105"/>
      <c r="Q38" s="106"/>
    </row>
    <row r="39" spans="1:17">
      <c r="A39" s="75"/>
      <c r="B39" s="76"/>
      <c r="C39" s="107">
        <f t="shared" si="1"/>
        <v>32</v>
      </c>
      <c r="D39" s="108"/>
      <c r="E39" s="108"/>
      <c r="F39" s="108"/>
      <c r="G39" s="108"/>
      <c r="H39" s="109" t="str">
        <f t="shared" si="2"/>
        <v/>
      </c>
      <c r="I39" s="105"/>
      <c r="J39" s="105"/>
      <c r="K39" s="105"/>
      <c r="L39" s="105"/>
      <c r="M39" s="110"/>
      <c r="N39" s="110"/>
      <c r="O39" s="110"/>
      <c r="P39" s="105"/>
      <c r="Q39" s="106"/>
    </row>
    <row r="40" spans="1:17">
      <c r="A40" s="75"/>
      <c r="B40" s="76"/>
      <c r="C40" s="107">
        <f t="shared" si="1"/>
        <v>33</v>
      </c>
      <c r="D40" s="108"/>
      <c r="E40" s="108"/>
      <c r="F40" s="108"/>
      <c r="G40" s="108"/>
      <c r="H40" s="109" t="str">
        <f t="shared" si="2"/>
        <v/>
      </c>
      <c r="I40" s="105"/>
      <c r="J40" s="105"/>
      <c r="K40" s="105"/>
      <c r="L40" s="105"/>
      <c r="M40" s="110"/>
      <c r="N40" s="110"/>
      <c r="O40" s="110"/>
      <c r="P40" s="105"/>
      <c r="Q40" s="106"/>
    </row>
    <row r="41" spans="1:17">
      <c r="A41" s="75"/>
      <c r="B41" s="76"/>
      <c r="C41" s="107">
        <f t="shared" si="1"/>
        <v>34</v>
      </c>
      <c r="D41" s="108"/>
      <c r="E41" s="108"/>
      <c r="F41" s="108"/>
      <c r="G41" s="108"/>
      <c r="H41" s="109" t="str">
        <f t="shared" si="2"/>
        <v/>
      </c>
      <c r="I41" s="105"/>
      <c r="J41" s="105"/>
      <c r="K41" s="105"/>
      <c r="L41" s="105"/>
      <c r="M41" s="110"/>
      <c r="N41" s="110"/>
      <c r="O41" s="110"/>
      <c r="P41" s="105"/>
      <c r="Q41" s="106"/>
    </row>
    <row r="42" spans="1:17">
      <c r="A42" s="75"/>
      <c r="B42" s="76"/>
      <c r="C42" s="107">
        <f t="shared" si="1"/>
        <v>35</v>
      </c>
      <c r="D42" s="108"/>
      <c r="E42" s="108"/>
      <c r="F42" s="108"/>
      <c r="G42" s="108"/>
      <c r="H42" s="109" t="str">
        <f t="shared" si="2"/>
        <v/>
      </c>
      <c r="I42" s="105"/>
      <c r="J42" s="105"/>
      <c r="K42" s="105"/>
      <c r="L42" s="105"/>
      <c r="M42" s="110"/>
      <c r="N42" s="110"/>
      <c r="O42" s="110"/>
      <c r="P42" s="105"/>
      <c r="Q42" s="106"/>
    </row>
    <row r="43" spans="1:17">
      <c r="A43" s="75"/>
      <c r="B43" s="76"/>
      <c r="C43" s="107">
        <f t="shared" si="1"/>
        <v>36</v>
      </c>
      <c r="D43" s="108"/>
      <c r="E43" s="108"/>
      <c r="F43" s="108"/>
      <c r="G43" s="108"/>
      <c r="H43" s="109" t="str">
        <f t="shared" si="2"/>
        <v/>
      </c>
      <c r="I43" s="105"/>
      <c r="J43" s="105"/>
      <c r="K43" s="105"/>
      <c r="L43" s="105"/>
      <c r="M43" s="110"/>
      <c r="N43" s="110"/>
      <c r="O43" s="110"/>
      <c r="P43" s="105"/>
      <c r="Q43" s="106"/>
    </row>
    <row r="44" spans="1:17">
      <c r="A44" s="75"/>
      <c r="B44" s="76"/>
      <c r="C44" s="107">
        <f t="shared" si="1"/>
        <v>37</v>
      </c>
      <c r="D44" s="108"/>
      <c r="E44" s="108"/>
      <c r="F44" s="108"/>
      <c r="G44" s="108"/>
      <c r="H44" s="109" t="str">
        <f t="shared" si="2"/>
        <v/>
      </c>
      <c r="I44" s="105"/>
      <c r="J44" s="105"/>
      <c r="K44" s="105"/>
      <c r="L44" s="105"/>
      <c r="M44" s="110"/>
      <c r="N44" s="110"/>
      <c r="O44" s="110"/>
      <c r="P44" s="105"/>
      <c r="Q44" s="106"/>
    </row>
    <row r="45" spans="1:17">
      <c r="A45" s="75"/>
      <c r="B45" s="76"/>
      <c r="C45" s="107">
        <f t="shared" si="1"/>
        <v>38</v>
      </c>
      <c r="D45" s="108"/>
      <c r="E45" s="108"/>
      <c r="F45" s="108"/>
      <c r="G45" s="108"/>
      <c r="H45" s="109" t="str">
        <f t="shared" si="2"/>
        <v/>
      </c>
      <c r="I45" s="105"/>
      <c r="J45" s="105"/>
      <c r="K45" s="105"/>
      <c r="L45" s="105"/>
      <c r="M45" s="110"/>
      <c r="N45" s="110"/>
      <c r="O45" s="110"/>
      <c r="P45" s="105"/>
      <c r="Q45" s="106"/>
    </row>
    <row r="46" spans="1:17">
      <c r="A46" s="75"/>
      <c r="B46" s="76"/>
      <c r="C46" s="107">
        <f t="shared" si="1"/>
        <v>39</v>
      </c>
      <c r="D46" s="108"/>
      <c r="E46" s="108"/>
      <c r="F46" s="108"/>
      <c r="G46" s="108"/>
      <c r="H46" s="109" t="str">
        <f t="shared" si="2"/>
        <v/>
      </c>
      <c r="I46" s="105"/>
      <c r="J46" s="105"/>
      <c r="K46" s="105"/>
      <c r="L46" s="105"/>
      <c r="M46" s="110"/>
      <c r="N46" s="110"/>
      <c r="O46" s="110"/>
      <c r="P46" s="105"/>
      <c r="Q46" s="106"/>
    </row>
    <row r="47" spans="1:17">
      <c r="A47" s="75"/>
      <c r="B47" s="76"/>
      <c r="C47" s="107">
        <f t="shared" si="1"/>
        <v>40</v>
      </c>
      <c r="D47" s="108"/>
      <c r="E47" s="108"/>
      <c r="F47" s="108"/>
      <c r="G47" s="108"/>
      <c r="H47" s="109" t="str">
        <f t="shared" si="2"/>
        <v/>
      </c>
      <c r="I47" s="105"/>
      <c r="J47" s="105"/>
      <c r="K47" s="105"/>
      <c r="L47" s="105"/>
      <c r="M47" s="110"/>
      <c r="N47" s="110"/>
      <c r="O47" s="110"/>
      <c r="P47" s="105"/>
      <c r="Q47" s="106"/>
    </row>
    <row r="48" spans="1:17">
      <c r="A48" s="75"/>
      <c r="B48" s="76"/>
      <c r="C48" s="107">
        <f t="shared" ref="C48:C79" si="3">C47+1</f>
        <v>41</v>
      </c>
      <c r="D48" s="108"/>
      <c r="E48" s="108"/>
      <c r="F48" s="108"/>
      <c r="G48" s="108"/>
      <c r="H48" s="109" t="str">
        <f t="shared" si="2"/>
        <v/>
      </c>
      <c r="I48" s="105"/>
      <c r="J48" s="105"/>
      <c r="K48" s="105"/>
      <c r="L48" s="105"/>
      <c r="M48" s="110"/>
      <c r="N48" s="110"/>
      <c r="O48" s="110"/>
      <c r="P48" s="105"/>
      <c r="Q48" s="106"/>
    </row>
    <row r="49" spans="1:17">
      <c r="A49" s="75"/>
      <c r="B49" s="76"/>
      <c r="C49" s="107">
        <f t="shared" si="3"/>
        <v>42</v>
      </c>
      <c r="D49" s="108"/>
      <c r="E49" s="108"/>
      <c r="F49" s="108"/>
      <c r="G49" s="108"/>
      <c r="H49" s="109" t="str">
        <f t="shared" ref="H49:H80" si="4">IF(ISERR(1/L49*(I49/1000)),"",1/L49*(I49/1000))</f>
        <v/>
      </c>
      <c r="I49" s="105"/>
      <c r="J49" s="105"/>
      <c r="K49" s="105"/>
      <c r="L49" s="105"/>
      <c r="M49" s="110"/>
      <c r="N49" s="110"/>
      <c r="O49" s="110"/>
      <c r="P49" s="105"/>
      <c r="Q49" s="106"/>
    </row>
    <row r="50" spans="1:17">
      <c r="A50" s="75"/>
      <c r="B50" s="76"/>
      <c r="C50" s="107">
        <f t="shared" si="3"/>
        <v>43</v>
      </c>
      <c r="D50" s="108"/>
      <c r="E50" s="108"/>
      <c r="F50" s="108"/>
      <c r="G50" s="108"/>
      <c r="H50" s="109" t="str">
        <f t="shared" si="4"/>
        <v/>
      </c>
      <c r="I50" s="105"/>
      <c r="J50" s="105"/>
      <c r="K50" s="105"/>
      <c r="L50" s="105"/>
      <c r="M50" s="110"/>
      <c r="N50" s="110"/>
      <c r="O50" s="110"/>
      <c r="P50" s="105"/>
      <c r="Q50" s="106"/>
    </row>
    <row r="51" spans="1:17">
      <c r="A51" s="75"/>
      <c r="B51" s="76"/>
      <c r="C51" s="107">
        <f t="shared" si="3"/>
        <v>44</v>
      </c>
      <c r="D51" s="108"/>
      <c r="E51" s="108"/>
      <c r="F51" s="108"/>
      <c r="G51" s="108"/>
      <c r="H51" s="109" t="str">
        <f t="shared" si="4"/>
        <v/>
      </c>
      <c r="I51" s="105"/>
      <c r="J51" s="105"/>
      <c r="K51" s="105"/>
      <c r="L51" s="105"/>
      <c r="M51" s="110"/>
      <c r="N51" s="110"/>
      <c r="O51" s="110"/>
      <c r="P51" s="105"/>
      <c r="Q51" s="106"/>
    </row>
    <row r="52" spans="1:17">
      <c r="A52" s="75"/>
      <c r="B52" s="76"/>
      <c r="C52" s="107">
        <f t="shared" si="3"/>
        <v>45</v>
      </c>
      <c r="D52" s="108"/>
      <c r="E52" s="108"/>
      <c r="F52" s="108"/>
      <c r="G52" s="108"/>
      <c r="H52" s="109" t="str">
        <f t="shared" si="4"/>
        <v/>
      </c>
      <c r="I52" s="105"/>
      <c r="J52" s="105"/>
      <c r="K52" s="105"/>
      <c r="L52" s="105"/>
      <c r="M52" s="110"/>
      <c r="N52" s="110"/>
      <c r="O52" s="110"/>
      <c r="P52" s="105"/>
      <c r="Q52" s="106"/>
    </row>
    <row r="53" spans="1:17">
      <c r="A53" s="75"/>
      <c r="B53" s="76"/>
      <c r="C53" s="107">
        <f t="shared" si="3"/>
        <v>46</v>
      </c>
      <c r="D53" s="108"/>
      <c r="E53" s="108"/>
      <c r="F53" s="108"/>
      <c r="G53" s="108"/>
      <c r="H53" s="109" t="str">
        <f t="shared" si="4"/>
        <v/>
      </c>
      <c r="I53" s="105"/>
      <c r="J53" s="105"/>
      <c r="K53" s="105"/>
      <c r="L53" s="105"/>
      <c r="M53" s="110"/>
      <c r="N53" s="110"/>
      <c r="O53" s="110"/>
      <c r="P53" s="105"/>
      <c r="Q53" s="106"/>
    </row>
    <row r="54" spans="1:17">
      <c r="A54" s="75"/>
      <c r="B54" s="76"/>
      <c r="C54" s="107">
        <f t="shared" si="3"/>
        <v>47</v>
      </c>
      <c r="D54" s="108"/>
      <c r="E54" s="108"/>
      <c r="F54" s="108"/>
      <c r="G54" s="108"/>
      <c r="H54" s="109" t="str">
        <f t="shared" si="4"/>
        <v/>
      </c>
      <c r="I54" s="105"/>
      <c r="J54" s="105"/>
      <c r="K54" s="105"/>
      <c r="L54" s="105"/>
      <c r="M54" s="110"/>
      <c r="N54" s="110"/>
      <c r="O54" s="110"/>
      <c r="P54" s="105"/>
      <c r="Q54" s="106"/>
    </row>
    <row r="55" spans="1:17">
      <c r="A55" s="75"/>
      <c r="B55" s="76"/>
      <c r="C55" s="107">
        <f t="shared" si="3"/>
        <v>48</v>
      </c>
      <c r="D55" s="108"/>
      <c r="E55" s="108"/>
      <c r="F55" s="108"/>
      <c r="G55" s="108"/>
      <c r="H55" s="109" t="str">
        <f t="shared" si="4"/>
        <v/>
      </c>
      <c r="I55" s="105"/>
      <c r="J55" s="105"/>
      <c r="K55" s="105"/>
      <c r="L55" s="105"/>
      <c r="M55" s="110"/>
      <c r="N55" s="110"/>
      <c r="O55" s="110"/>
      <c r="P55" s="105"/>
      <c r="Q55" s="106"/>
    </row>
    <row r="56" spans="1:17">
      <c r="A56" s="75"/>
      <c r="B56" s="76"/>
      <c r="C56" s="107">
        <f t="shared" si="3"/>
        <v>49</v>
      </c>
      <c r="D56" s="108"/>
      <c r="E56" s="108"/>
      <c r="F56" s="108"/>
      <c r="G56" s="108"/>
      <c r="H56" s="109" t="str">
        <f t="shared" si="4"/>
        <v/>
      </c>
      <c r="I56" s="105"/>
      <c r="J56" s="105"/>
      <c r="K56" s="105"/>
      <c r="L56" s="105"/>
      <c r="M56" s="110"/>
      <c r="N56" s="110"/>
      <c r="O56" s="110"/>
      <c r="P56" s="105"/>
      <c r="Q56" s="106"/>
    </row>
    <row r="57" spans="1:17">
      <c r="A57" s="75"/>
      <c r="B57" s="76"/>
      <c r="C57" s="107">
        <f t="shared" si="3"/>
        <v>50</v>
      </c>
      <c r="D57" s="108"/>
      <c r="E57" s="108"/>
      <c r="F57" s="108"/>
      <c r="G57" s="108"/>
      <c r="H57" s="109" t="str">
        <f t="shared" si="4"/>
        <v/>
      </c>
      <c r="I57" s="105"/>
      <c r="J57" s="105"/>
      <c r="K57" s="105"/>
      <c r="L57" s="105"/>
      <c r="M57" s="110"/>
      <c r="N57" s="110"/>
      <c r="O57" s="110"/>
      <c r="P57" s="105"/>
      <c r="Q57" s="106"/>
    </row>
    <row r="58" spans="1:17">
      <c r="A58" s="75"/>
      <c r="B58" s="76"/>
      <c r="C58" s="107">
        <f t="shared" si="3"/>
        <v>51</v>
      </c>
      <c r="D58" s="108"/>
      <c r="E58" s="108"/>
      <c r="F58" s="108"/>
      <c r="G58" s="108"/>
      <c r="H58" s="109" t="str">
        <f t="shared" si="4"/>
        <v/>
      </c>
      <c r="I58" s="105"/>
      <c r="J58" s="105"/>
      <c r="K58" s="105"/>
      <c r="L58" s="105"/>
      <c r="M58" s="110"/>
      <c r="N58" s="110"/>
      <c r="O58" s="110"/>
      <c r="P58" s="105"/>
      <c r="Q58" s="106"/>
    </row>
    <row r="59" spans="1:17">
      <c r="A59" s="75"/>
      <c r="B59" s="76"/>
      <c r="C59" s="107">
        <f t="shared" si="3"/>
        <v>52</v>
      </c>
      <c r="D59" s="108"/>
      <c r="E59" s="108"/>
      <c r="F59" s="108"/>
      <c r="G59" s="108"/>
      <c r="H59" s="109" t="str">
        <f t="shared" si="4"/>
        <v/>
      </c>
      <c r="I59" s="105"/>
      <c r="J59" s="105"/>
      <c r="K59" s="105"/>
      <c r="L59" s="105"/>
      <c r="M59" s="110"/>
      <c r="N59" s="110"/>
      <c r="O59" s="110"/>
      <c r="P59" s="105"/>
      <c r="Q59" s="106"/>
    </row>
    <row r="60" spans="1:17">
      <c r="A60" s="75"/>
      <c r="B60" s="76"/>
      <c r="C60" s="107">
        <f t="shared" si="3"/>
        <v>53</v>
      </c>
      <c r="D60" s="108"/>
      <c r="E60" s="108"/>
      <c r="F60" s="108"/>
      <c r="G60" s="108"/>
      <c r="H60" s="109" t="str">
        <f t="shared" si="4"/>
        <v/>
      </c>
      <c r="I60" s="105"/>
      <c r="J60" s="105"/>
      <c r="K60" s="105"/>
      <c r="L60" s="105"/>
      <c r="M60" s="110"/>
      <c r="N60" s="110"/>
      <c r="O60" s="110"/>
      <c r="P60" s="105"/>
      <c r="Q60" s="106"/>
    </row>
    <row r="61" spans="1:17">
      <c r="A61" s="75"/>
      <c r="B61" s="76"/>
      <c r="C61" s="107">
        <f t="shared" si="3"/>
        <v>54</v>
      </c>
      <c r="D61" s="108"/>
      <c r="E61" s="108"/>
      <c r="F61" s="108"/>
      <c r="G61" s="108"/>
      <c r="H61" s="109" t="str">
        <f t="shared" si="4"/>
        <v/>
      </c>
      <c r="I61" s="105"/>
      <c r="J61" s="105"/>
      <c r="K61" s="105"/>
      <c r="L61" s="105"/>
      <c r="M61" s="110"/>
      <c r="N61" s="110"/>
      <c r="O61" s="110"/>
      <c r="P61" s="105"/>
      <c r="Q61" s="106"/>
    </row>
    <row r="62" spans="1:17">
      <c r="A62" s="75"/>
      <c r="B62" s="76"/>
      <c r="C62" s="107">
        <f t="shared" si="3"/>
        <v>55</v>
      </c>
      <c r="D62" s="108"/>
      <c r="E62" s="108"/>
      <c r="F62" s="108"/>
      <c r="G62" s="108"/>
      <c r="H62" s="109" t="str">
        <f t="shared" si="4"/>
        <v/>
      </c>
      <c r="I62" s="105"/>
      <c r="J62" s="105"/>
      <c r="K62" s="105"/>
      <c r="L62" s="105"/>
      <c r="M62" s="110"/>
      <c r="N62" s="110"/>
      <c r="O62" s="110"/>
      <c r="P62" s="105"/>
      <c r="Q62" s="106"/>
    </row>
    <row r="63" spans="1:17">
      <c r="A63" s="75"/>
      <c r="B63" s="76"/>
      <c r="C63" s="107">
        <f t="shared" si="3"/>
        <v>56</v>
      </c>
      <c r="D63" s="108"/>
      <c r="E63" s="108"/>
      <c r="F63" s="108"/>
      <c r="G63" s="108"/>
      <c r="H63" s="109" t="str">
        <f t="shared" si="4"/>
        <v/>
      </c>
      <c r="I63" s="105"/>
      <c r="J63" s="105"/>
      <c r="K63" s="105"/>
      <c r="L63" s="105"/>
      <c r="M63" s="110"/>
      <c r="N63" s="110"/>
      <c r="O63" s="110"/>
      <c r="P63" s="105"/>
      <c r="Q63" s="106"/>
    </row>
    <row r="64" spans="1:17">
      <c r="A64" s="75"/>
      <c r="B64" s="76"/>
      <c r="C64" s="107">
        <f t="shared" si="3"/>
        <v>57</v>
      </c>
      <c r="D64" s="108"/>
      <c r="E64" s="108"/>
      <c r="F64" s="108"/>
      <c r="G64" s="108"/>
      <c r="H64" s="109" t="str">
        <f t="shared" si="4"/>
        <v/>
      </c>
      <c r="I64" s="105"/>
      <c r="J64" s="105"/>
      <c r="K64" s="105"/>
      <c r="L64" s="105"/>
      <c r="M64" s="110"/>
      <c r="N64" s="110"/>
      <c r="O64" s="110"/>
      <c r="P64" s="105"/>
      <c r="Q64" s="106"/>
    </row>
    <row r="65" spans="1:17">
      <c r="A65" s="75"/>
      <c r="B65" s="76"/>
      <c r="C65" s="107">
        <f t="shared" si="3"/>
        <v>58</v>
      </c>
      <c r="D65" s="108"/>
      <c r="E65" s="108"/>
      <c r="F65" s="108"/>
      <c r="G65" s="108"/>
      <c r="H65" s="109" t="str">
        <f t="shared" si="4"/>
        <v/>
      </c>
      <c r="I65" s="105"/>
      <c r="J65" s="105"/>
      <c r="K65" s="105"/>
      <c r="L65" s="105"/>
      <c r="M65" s="110"/>
      <c r="N65" s="110"/>
      <c r="O65" s="110"/>
      <c r="P65" s="105"/>
      <c r="Q65" s="106"/>
    </row>
    <row r="66" spans="1:17">
      <c r="A66" s="75"/>
      <c r="B66" s="76"/>
      <c r="C66" s="107">
        <f t="shared" si="3"/>
        <v>59</v>
      </c>
      <c r="D66" s="108"/>
      <c r="E66" s="108"/>
      <c r="F66" s="108"/>
      <c r="G66" s="108"/>
      <c r="H66" s="109" t="str">
        <f t="shared" si="4"/>
        <v/>
      </c>
      <c r="I66" s="105"/>
      <c r="J66" s="105"/>
      <c r="K66" s="105"/>
      <c r="L66" s="105"/>
      <c r="M66" s="110"/>
      <c r="N66" s="110"/>
      <c r="O66" s="110"/>
      <c r="P66" s="105"/>
      <c r="Q66" s="106"/>
    </row>
    <row r="67" spans="1:17">
      <c r="A67" s="75"/>
      <c r="B67" s="76"/>
      <c r="C67" s="107">
        <f t="shared" si="3"/>
        <v>60</v>
      </c>
      <c r="D67" s="108"/>
      <c r="E67" s="108"/>
      <c r="F67" s="108"/>
      <c r="G67" s="108"/>
      <c r="H67" s="109" t="str">
        <f t="shared" si="4"/>
        <v/>
      </c>
      <c r="I67" s="105"/>
      <c r="J67" s="105"/>
      <c r="K67" s="105"/>
      <c r="L67" s="105"/>
      <c r="M67" s="110"/>
      <c r="N67" s="110"/>
      <c r="O67" s="110"/>
      <c r="P67" s="105"/>
      <c r="Q67" s="106"/>
    </row>
    <row r="68" spans="1:17">
      <c r="A68" s="75"/>
      <c r="B68" s="76"/>
      <c r="C68" s="107">
        <f t="shared" si="3"/>
        <v>61</v>
      </c>
      <c r="D68" s="108"/>
      <c r="E68" s="108"/>
      <c r="F68" s="108"/>
      <c r="G68" s="108"/>
      <c r="H68" s="109" t="str">
        <f t="shared" si="4"/>
        <v/>
      </c>
      <c r="I68" s="105"/>
      <c r="J68" s="105"/>
      <c r="K68" s="105"/>
      <c r="L68" s="105"/>
      <c r="M68" s="110"/>
      <c r="N68" s="110"/>
      <c r="O68" s="110"/>
      <c r="P68" s="105"/>
      <c r="Q68" s="106"/>
    </row>
    <row r="69" spans="1:17">
      <c r="A69" s="75"/>
      <c r="B69" s="76"/>
      <c r="C69" s="107">
        <f t="shared" si="3"/>
        <v>62</v>
      </c>
      <c r="D69" s="108"/>
      <c r="E69" s="108"/>
      <c r="F69" s="108"/>
      <c r="G69" s="108"/>
      <c r="H69" s="109" t="str">
        <f t="shared" si="4"/>
        <v/>
      </c>
      <c r="I69" s="105"/>
      <c r="J69" s="105"/>
      <c r="K69" s="105"/>
      <c r="L69" s="105"/>
      <c r="M69" s="110"/>
      <c r="N69" s="110"/>
      <c r="O69" s="110"/>
      <c r="P69" s="105"/>
      <c r="Q69" s="106"/>
    </row>
    <row r="70" spans="1:17">
      <c r="A70" s="75"/>
      <c r="B70" s="76"/>
      <c r="C70" s="107">
        <f t="shared" si="3"/>
        <v>63</v>
      </c>
      <c r="D70" s="108"/>
      <c r="E70" s="108"/>
      <c r="F70" s="108"/>
      <c r="G70" s="108"/>
      <c r="H70" s="109" t="str">
        <f t="shared" si="4"/>
        <v/>
      </c>
      <c r="I70" s="105"/>
      <c r="J70" s="105"/>
      <c r="K70" s="105"/>
      <c r="L70" s="105"/>
      <c r="M70" s="110"/>
      <c r="N70" s="110"/>
      <c r="O70" s="110"/>
      <c r="P70" s="105"/>
      <c r="Q70" s="106"/>
    </row>
    <row r="71" spans="1:17">
      <c r="A71" s="75"/>
      <c r="B71" s="76"/>
      <c r="C71" s="107">
        <f t="shared" si="3"/>
        <v>64</v>
      </c>
      <c r="D71" s="108"/>
      <c r="E71" s="108"/>
      <c r="F71" s="108"/>
      <c r="G71" s="108"/>
      <c r="H71" s="109" t="str">
        <f t="shared" si="4"/>
        <v/>
      </c>
      <c r="I71" s="105"/>
      <c r="J71" s="105"/>
      <c r="K71" s="105"/>
      <c r="L71" s="105"/>
      <c r="M71" s="110"/>
      <c r="N71" s="110"/>
      <c r="O71" s="110"/>
      <c r="P71" s="105"/>
      <c r="Q71" s="106"/>
    </row>
    <row r="72" spans="1:17">
      <c r="A72" s="75"/>
      <c r="B72" s="76"/>
      <c r="C72" s="107">
        <f t="shared" si="3"/>
        <v>65</v>
      </c>
      <c r="D72" s="108"/>
      <c r="E72" s="108"/>
      <c r="F72" s="108"/>
      <c r="G72" s="108"/>
      <c r="H72" s="109" t="str">
        <f t="shared" si="4"/>
        <v/>
      </c>
      <c r="I72" s="105"/>
      <c r="J72" s="105"/>
      <c r="K72" s="105"/>
      <c r="L72" s="105"/>
      <c r="M72" s="110"/>
      <c r="N72" s="110"/>
      <c r="O72" s="110"/>
      <c r="P72" s="105"/>
      <c r="Q72" s="106"/>
    </row>
    <row r="73" spans="1:17">
      <c r="A73" s="75"/>
      <c r="B73" s="76"/>
      <c r="C73" s="107">
        <f t="shared" si="3"/>
        <v>66</v>
      </c>
      <c r="D73" s="108"/>
      <c r="E73" s="108"/>
      <c r="F73" s="108"/>
      <c r="G73" s="108"/>
      <c r="H73" s="109" t="str">
        <f t="shared" si="4"/>
        <v/>
      </c>
      <c r="I73" s="105"/>
      <c r="J73" s="105"/>
      <c r="K73" s="105"/>
      <c r="L73" s="105"/>
      <c r="M73" s="110"/>
      <c r="N73" s="110"/>
      <c r="O73" s="110"/>
      <c r="P73" s="105"/>
      <c r="Q73" s="106"/>
    </row>
    <row r="74" spans="1:17">
      <c r="A74" s="75"/>
      <c r="B74" s="76"/>
      <c r="C74" s="107">
        <f t="shared" si="3"/>
        <v>67</v>
      </c>
      <c r="D74" s="108"/>
      <c r="E74" s="108"/>
      <c r="F74" s="108"/>
      <c r="G74" s="108"/>
      <c r="H74" s="109" t="str">
        <f t="shared" si="4"/>
        <v/>
      </c>
      <c r="I74" s="105"/>
      <c r="J74" s="105"/>
      <c r="K74" s="105"/>
      <c r="L74" s="105"/>
      <c r="M74" s="110"/>
      <c r="N74" s="110"/>
      <c r="O74" s="110"/>
      <c r="P74" s="105"/>
      <c r="Q74" s="106"/>
    </row>
    <row r="75" spans="1:17">
      <c r="A75" s="75"/>
      <c r="B75" s="76"/>
      <c r="C75" s="107">
        <f t="shared" si="3"/>
        <v>68</v>
      </c>
      <c r="D75" s="108"/>
      <c r="E75" s="108"/>
      <c r="F75" s="108"/>
      <c r="G75" s="108"/>
      <c r="H75" s="109" t="str">
        <f t="shared" si="4"/>
        <v/>
      </c>
      <c r="I75" s="105"/>
      <c r="J75" s="105"/>
      <c r="K75" s="105"/>
      <c r="L75" s="105"/>
      <c r="M75" s="110"/>
      <c r="N75" s="110"/>
      <c r="O75" s="110"/>
      <c r="P75" s="105"/>
      <c r="Q75" s="106"/>
    </row>
    <row r="76" spans="1:17">
      <c r="A76" s="75"/>
      <c r="B76" s="76"/>
      <c r="C76" s="107">
        <f t="shared" si="3"/>
        <v>69</v>
      </c>
      <c r="D76" s="108"/>
      <c r="E76" s="108"/>
      <c r="F76" s="108"/>
      <c r="G76" s="108"/>
      <c r="H76" s="109" t="str">
        <f t="shared" si="4"/>
        <v/>
      </c>
      <c r="I76" s="105"/>
      <c r="J76" s="105"/>
      <c r="K76" s="105"/>
      <c r="L76" s="105"/>
      <c r="M76" s="110"/>
      <c r="N76" s="110"/>
      <c r="O76" s="110"/>
      <c r="P76" s="105"/>
      <c r="Q76" s="106"/>
    </row>
    <row r="77" spans="1:17">
      <c r="A77" s="75"/>
      <c r="B77" s="76"/>
      <c r="C77" s="107">
        <f t="shared" si="3"/>
        <v>70</v>
      </c>
      <c r="D77" s="108"/>
      <c r="E77" s="108"/>
      <c r="F77" s="108"/>
      <c r="G77" s="108"/>
      <c r="H77" s="109" t="str">
        <f t="shared" si="4"/>
        <v/>
      </c>
      <c r="I77" s="105"/>
      <c r="J77" s="105"/>
      <c r="K77" s="105"/>
      <c r="L77" s="105"/>
      <c r="M77" s="110"/>
      <c r="N77" s="110"/>
      <c r="O77" s="110"/>
      <c r="P77" s="105"/>
      <c r="Q77" s="106"/>
    </row>
    <row r="78" spans="1:17">
      <c r="A78" s="75"/>
      <c r="B78" s="76"/>
      <c r="C78" s="107">
        <f t="shared" si="3"/>
        <v>71</v>
      </c>
      <c r="D78" s="108"/>
      <c r="E78" s="108"/>
      <c r="F78" s="108"/>
      <c r="G78" s="108"/>
      <c r="H78" s="109" t="str">
        <f t="shared" si="4"/>
        <v/>
      </c>
      <c r="I78" s="105"/>
      <c r="J78" s="105"/>
      <c r="K78" s="105"/>
      <c r="L78" s="105"/>
      <c r="M78" s="110"/>
      <c r="N78" s="110"/>
      <c r="O78" s="110"/>
      <c r="P78" s="105"/>
      <c r="Q78" s="106"/>
    </row>
    <row r="79" spans="1:17">
      <c r="A79" s="75"/>
      <c r="B79" s="76"/>
      <c r="C79" s="107">
        <f t="shared" si="3"/>
        <v>72</v>
      </c>
      <c r="D79" s="108"/>
      <c r="E79" s="108"/>
      <c r="F79" s="108"/>
      <c r="G79" s="108"/>
      <c r="H79" s="109" t="str">
        <f t="shared" si="4"/>
        <v/>
      </c>
      <c r="I79" s="105"/>
      <c r="J79" s="105"/>
      <c r="K79" s="105"/>
      <c r="L79" s="105"/>
      <c r="M79" s="110"/>
      <c r="N79" s="110"/>
      <c r="O79" s="110"/>
      <c r="P79" s="105"/>
      <c r="Q79" s="106"/>
    </row>
    <row r="80" spans="1:17">
      <c r="A80" s="75"/>
      <c r="B80" s="76"/>
      <c r="C80" s="107">
        <f t="shared" ref="C80:C107" si="5">C79+1</f>
        <v>73</v>
      </c>
      <c r="D80" s="108"/>
      <c r="E80" s="108"/>
      <c r="F80" s="108"/>
      <c r="G80" s="108"/>
      <c r="H80" s="109" t="str">
        <f t="shared" si="4"/>
        <v/>
      </c>
      <c r="I80" s="105"/>
      <c r="J80" s="105"/>
      <c r="K80" s="105"/>
      <c r="L80" s="105"/>
      <c r="M80" s="110"/>
      <c r="N80" s="110"/>
      <c r="O80" s="110"/>
      <c r="P80" s="105"/>
      <c r="Q80" s="106"/>
    </row>
    <row r="81" spans="1:17">
      <c r="A81" s="75"/>
      <c r="B81" s="76"/>
      <c r="C81" s="107">
        <f t="shared" si="5"/>
        <v>74</v>
      </c>
      <c r="D81" s="108"/>
      <c r="E81" s="108"/>
      <c r="F81" s="108"/>
      <c r="G81" s="108"/>
      <c r="H81" s="109" t="str">
        <f t="shared" ref="H81:H107" si="6">IF(ISERR(1/L81*(I81/1000)),"",1/L81*(I81/1000))</f>
        <v/>
      </c>
      <c r="I81" s="105"/>
      <c r="J81" s="105"/>
      <c r="K81" s="105"/>
      <c r="L81" s="105"/>
      <c r="M81" s="110"/>
      <c r="N81" s="110"/>
      <c r="O81" s="110"/>
      <c r="P81" s="105"/>
      <c r="Q81" s="106"/>
    </row>
    <row r="82" spans="1:17">
      <c r="A82" s="75"/>
      <c r="B82" s="76"/>
      <c r="C82" s="107">
        <f t="shared" si="5"/>
        <v>75</v>
      </c>
      <c r="D82" s="108"/>
      <c r="E82" s="108"/>
      <c r="F82" s="108"/>
      <c r="G82" s="108"/>
      <c r="H82" s="109" t="str">
        <f t="shared" si="6"/>
        <v/>
      </c>
      <c r="I82" s="105"/>
      <c r="J82" s="105"/>
      <c r="K82" s="105"/>
      <c r="L82" s="105"/>
      <c r="M82" s="110"/>
      <c r="N82" s="110"/>
      <c r="O82" s="110"/>
      <c r="P82" s="105"/>
      <c r="Q82" s="106"/>
    </row>
    <row r="83" spans="1:17">
      <c r="A83" s="75"/>
      <c r="B83" s="76"/>
      <c r="C83" s="107">
        <f t="shared" si="5"/>
        <v>76</v>
      </c>
      <c r="D83" s="108"/>
      <c r="E83" s="108"/>
      <c r="F83" s="108"/>
      <c r="G83" s="108"/>
      <c r="H83" s="109" t="str">
        <f t="shared" si="6"/>
        <v/>
      </c>
      <c r="I83" s="105"/>
      <c r="J83" s="105"/>
      <c r="K83" s="105"/>
      <c r="L83" s="105"/>
      <c r="M83" s="110"/>
      <c r="N83" s="110"/>
      <c r="O83" s="110"/>
      <c r="P83" s="105"/>
      <c r="Q83" s="106"/>
    </row>
    <row r="84" spans="1:17">
      <c r="A84" s="75"/>
      <c r="B84" s="76"/>
      <c r="C84" s="107">
        <f t="shared" si="5"/>
        <v>77</v>
      </c>
      <c r="D84" s="108"/>
      <c r="E84" s="108"/>
      <c r="F84" s="108"/>
      <c r="G84" s="108"/>
      <c r="H84" s="109" t="str">
        <f t="shared" si="6"/>
        <v/>
      </c>
      <c r="I84" s="105"/>
      <c r="J84" s="105"/>
      <c r="K84" s="105"/>
      <c r="L84" s="105"/>
      <c r="M84" s="110"/>
      <c r="N84" s="110"/>
      <c r="O84" s="110"/>
      <c r="P84" s="105"/>
      <c r="Q84" s="106"/>
    </row>
    <row r="85" spans="1:17">
      <c r="A85" s="75"/>
      <c r="B85" s="76"/>
      <c r="C85" s="107">
        <f t="shared" si="5"/>
        <v>78</v>
      </c>
      <c r="D85" s="108"/>
      <c r="E85" s="108"/>
      <c r="F85" s="108"/>
      <c r="G85" s="108"/>
      <c r="H85" s="109" t="str">
        <f t="shared" si="6"/>
        <v/>
      </c>
      <c r="I85" s="105"/>
      <c r="J85" s="105"/>
      <c r="K85" s="105"/>
      <c r="L85" s="105"/>
      <c r="M85" s="110"/>
      <c r="N85" s="110"/>
      <c r="O85" s="110"/>
      <c r="P85" s="105"/>
      <c r="Q85" s="106"/>
    </row>
    <row r="86" spans="1:17">
      <c r="A86" s="75"/>
      <c r="B86" s="76"/>
      <c r="C86" s="107">
        <f t="shared" si="5"/>
        <v>79</v>
      </c>
      <c r="D86" s="108"/>
      <c r="E86" s="108"/>
      <c r="F86" s="108"/>
      <c r="G86" s="108"/>
      <c r="H86" s="109" t="str">
        <f t="shared" si="6"/>
        <v/>
      </c>
      <c r="I86" s="105"/>
      <c r="J86" s="105"/>
      <c r="K86" s="105"/>
      <c r="L86" s="105"/>
      <c r="M86" s="110"/>
      <c r="N86" s="110"/>
      <c r="O86" s="110"/>
      <c r="P86" s="105"/>
      <c r="Q86" s="106"/>
    </row>
    <row r="87" spans="1:17">
      <c r="A87" s="75"/>
      <c r="B87" s="76"/>
      <c r="C87" s="107">
        <f t="shared" si="5"/>
        <v>80</v>
      </c>
      <c r="D87" s="108"/>
      <c r="E87" s="108"/>
      <c r="F87" s="108"/>
      <c r="G87" s="108"/>
      <c r="H87" s="109" t="str">
        <f t="shared" si="6"/>
        <v/>
      </c>
      <c r="I87" s="105"/>
      <c r="J87" s="105"/>
      <c r="K87" s="105"/>
      <c r="L87" s="105"/>
      <c r="M87" s="110"/>
      <c r="N87" s="110"/>
      <c r="O87" s="110"/>
      <c r="P87" s="105"/>
      <c r="Q87" s="106"/>
    </row>
    <row r="88" spans="1:17">
      <c r="A88" s="75"/>
      <c r="B88" s="76"/>
      <c r="C88" s="107">
        <f t="shared" si="5"/>
        <v>81</v>
      </c>
      <c r="D88" s="108"/>
      <c r="E88" s="108"/>
      <c r="F88" s="108"/>
      <c r="G88" s="108"/>
      <c r="H88" s="109" t="str">
        <f t="shared" si="6"/>
        <v/>
      </c>
      <c r="I88" s="105"/>
      <c r="J88" s="105"/>
      <c r="K88" s="105"/>
      <c r="L88" s="105"/>
      <c r="M88" s="110"/>
      <c r="N88" s="110"/>
      <c r="O88" s="110"/>
      <c r="P88" s="105"/>
      <c r="Q88" s="106"/>
    </row>
    <row r="89" spans="1:17">
      <c r="A89" s="75"/>
      <c r="B89" s="76"/>
      <c r="C89" s="107">
        <f t="shared" si="5"/>
        <v>82</v>
      </c>
      <c r="D89" s="108"/>
      <c r="E89" s="108"/>
      <c r="F89" s="108"/>
      <c r="G89" s="108"/>
      <c r="H89" s="109" t="str">
        <f t="shared" si="6"/>
        <v/>
      </c>
      <c r="I89" s="105"/>
      <c r="J89" s="105"/>
      <c r="K89" s="105"/>
      <c r="L89" s="105"/>
      <c r="M89" s="110"/>
      <c r="N89" s="110"/>
      <c r="O89" s="110"/>
      <c r="P89" s="105"/>
      <c r="Q89" s="106"/>
    </row>
    <row r="90" spans="1:17">
      <c r="A90" s="75"/>
      <c r="B90" s="76"/>
      <c r="C90" s="107">
        <f t="shared" si="5"/>
        <v>83</v>
      </c>
      <c r="D90" s="108"/>
      <c r="E90" s="108"/>
      <c r="F90" s="108"/>
      <c r="G90" s="108"/>
      <c r="H90" s="109" t="str">
        <f t="shared" si="6"/>
        <v/>
      </c>
      <c r="I90" s="105"/>
      <c r="J90" s="105"/>
      <c r="K90" s="105"/>
      <c r="L90" s="105"/>
      <c r="M90" s="110"/>
      <c r="N90" s="110"/>
      <c r="O90" s="110"/>
      <c r="P90" s="105"/>
      <c r="Q90" s="106"/>
    </row>
    <row r="91" spans="1:17">
      <c r="A91" s="75"/>
      <c r="B91" s="76"/>
      <c r="C91" s="107">
        <f t="shared" si="5"/>
        <v>84</v>
      </c>
      <c r="D91" s="108"/>
      <c r="E91" s="108"/>
      <c r="F91" s="108"/>
      <c r="G91" s="108"/>
      <c r="H91" s="109" t="str">
        <f t="shared" si="6"/>
        <v/>
      </c>
      <c r="I91" s="105"/>
      <c r="J91" s="105"/>
      <c r="K91" s="105"/>
      <c r="L91" s="105"/>
      <c r="M91" s="110"/>
      <c r="N91" s="110"/>
      <c r="O91" s="110"/>
      <c r="P91" s="105"/>
      <c r="Q91" s="106"/>
    </row>
    <row r="92" spans="1:17">
      <c r="A92" s="75"/>
      <c r="B92" s="76"/>
      <c r="C92" s="107">
        <f t="shared" si="5"/>
        <v>85</v>
      </c>
      <c r="D92" s="108"/>
      <c r="E92" s="108"/>
      <c r="F92" s="108"/>
      <c r="G92" s="108"/>
      <c r="H92" s="109" t="str">
        <f t="shared" si="6"/>
        <v/>
      </c>
      <c r="I92" s="105"/>
      <c r="J92" s="105"/>
      <c r="K92" s="105"/>
      <c r="L92" s="105"/>
      <c r="M92" s="110"/>
      <c r="N92" s="110"/>
      <c r="O92" s="110"/>
      <c r="P92" s="105"/>
      <c r="Q92" s="106"/>
    </row>
    <row r="93" spans="1:17">
      <c r="A93" s="75"/>
      <c r="B93" s="76"/>
      <c r="C93" s="107">
        <f t="shared" si="5"/>
        <v>86</v>
      </c>
      <c r="D93" s="108"/>
      <c r="E93" s="108"/>
      <c r="F93" s="108"/>
      <c r="G93" s="108"/>
      <c r="H93" s="109" t="str">
        <f t="shared" si="6"/>
        <v/>
      </c>
      <c r="I93" s="105"/>
      <c r="J93" s="105"/>
      <c r="K93" s="105"/>
      <c r="L93" s="105"/>
      <c r="M93" s="110"/>
      <c r="N93" s="110"/>
      <c r="O93" s="110"/>
      <c r="P93" s="105"/>
      <c r="Q93" s="106"/>
    </row>
    <row r="94" spans="1:17">
      <c r="A94" s="75"/>
      <c r="B94" s="76"/>
      <c r="C94" s="107">
        <f t="shared" si="5"/>
        <v>87</v>
      </c>
      <c r="D94" s="108"/>
      <c r="E94" s="108"/>
      <c r="F94" s="108"/>
      <c r="G94" s="108"/>
      <c r="H94" s="109" t="str">
        <f t="shared" si="6"/>
        <v/>
      </c>
      <c r="I94" s="105"/>
      <c r="J94" s="105"/>
      <c r="K94" s="105"/>
      <c r="L94" s="105"/>
      <c r="M94" s="110"/>
      <c r="N94" s="110"/>
      <c r="O94" s="110"/>
      <c r="P94" s="105"/>
      <c r="Q94" s="106"/>
    </row>
    <row r="95" spans="1:17">
      <c r="A95" s="75"/>
      <c r="B95" s="76"/>
      <c r="C95" s="107">
        <f t="shared" si="5"/>
        <v>88</v>
      </c>
      <c r="D95" s="108"/>
      <c r="E95" s="108"/>
      <c r="F95" s="108"/>
      <c r="G95" s="108"/>
      <c r="H95" s="109" t="str">
        <f t="shared" si="6"/>
        <v/>
      </c>
      <c r="I95" s="105"/>
      <c r="J95" s="105"/>
      <c r="K95" s="105"/>
      <c r="L95" s="105"/>
      <c r="M95" s="110"/>
      <c r="N95" s="110"/>
      <c r="O95" s="110"/>
      <c r="P95" s="105"/>
      <c r="Q95" s="106"/>
    </row>
    <row r="96" spans="1:17">
      <c r="A96" s="75"/>
      <c r="B96" s="76"/>
      <c r="C96" s="107">
        <f t="shared" si="5"/>
        <v>89</v>
      </c>
      <c r="D96" s="108"/>
      <c r="E96" s="108"/>
      <c r="F96" s="108"/>
      <c r="G96" s="108"/>
      <c r="H96" s="109" t="str">
        <f t="shared" si="6"/>
        <v/>
      </c>
      <c r="I96" s="105"/>
      <c r="J96" s="105"/>
      <c r="K96" s="105"/>
      <c r="L96" s="105"/>
      <c r="M96" s="110"/>
      <c r="N96" s="110"/>
      <c r="O96" s="110"/>
      <c r="P96" s="105"/>
      <c r="Q96" s="106"/>
    </row>
    <row r="97" spans="1:17">
      <c r="A97" s="75"/>
      <c r="B97" s="76"/>
      <c r="C97" s="107">
        <f t="shared" si="5"/>
        <v>90</v>
      </c>
      <c r="D97" s="108"/>
      <c r="E97" s="108"/>
      <c r="F97" s="108"/>
      <c r="G97" s="108"/>
      <c r="H97" s="109" t="str">
        <f t="shared" si="6"/>
        <v/>
      </c>
      <c r="I97" s="105"/>
      <c r="J97" s="105"/>
      <c r="K97" s="105"/>
      <c r="L97" s="105"/>
      <c r="M97" s="110"/>
      <c r="N97" s="110"/>
      <c r="O97" s="110"/>
      <c r="P97" s="105"/>
      <c r="Q97" s="106"/>
    </row>
    <row r="98" spans="1:17">
      <c r="A98" s="75"/>
      <c r="B98" s="76"/>
      <c r="C98" s="107">
        <f t="shared" si="5"/>
        <v>91</v>
      </c>
      <c r="D98" s="108"/>
      <c r="E98" s="108"/>
      <c r="F98" s="108"/>
      <c r="G98" s="108"/>
      <c r="H98" s="109" t="str">
        <f t="shared" si="6"/>
        <v/>
      </c>
      <c r="I98" s="105"/>
      <c r="J98" s="105"/>
      <c r="K98" s="105"/>
      <c r="L98" s="105"/>
      <c r="M98" s="110"/>
      <c r="N98" s="110"/>
      <c r="O98" s="110"/>
      <c r="P98" s="105"/>
      <c r="Q98" s="106"/>
    </row>
    <row r="99" spans="1:17">
      <c r="A99" s="75"/>
      <c r="B99" s="76"/>
      <c r="C99" s="107">
        <f t="shared" si="5"/>
        <v>92</v>
      </c>
      <c r="D99" s="108"/>
      <c r="E99" s="108"/>
      <c r="F99" s="108"/>
      <c r="G99" s="108"/>
      <c r="H99" s="109" t="str">
        <f t="shared" si="6"/>
        <v/>
      </c>
      <c r="I99" s="105"/>
      <c r="J99" s="105"/>
      <c r="K99" s="105"/>
      <c r="L99" s="105"/>
      <c r="M99" s="110"/>
      <c r="N99" s="110"/>
      <c r="O99" s="110"/>
      <c r="P99" s="105"/>
      <c r="Q99" s="106"/>
    </row>
    <row r="100" spans="1:17">
      <c r="A100" s="75"/>
      <c r="B100" s="76"/>
      <c r="C100" s="107">
        <f t="shared" si="5"/>
        <v>93</v>
      </c>
      <c r="D100" s="108"/>
      <c r="E100" s="108"/>
      <c r="F100" s="108"/>
      <c r="G100" s="108"/>
      <c r="H100" s="109" t="str">
        <f t="shared" si="6"/>
        <v/>
      </c>
      <c r="I100" s="105"/>
      <c r="J100" s="105"/>
      <c r="K100" s="105"/>
      <c r="L100" s="105"/>
      <c r="M100" s="110"/>
      <c r="N100" s="110"/>
      <c r="O100" s="110"/>
      <c r="P100" s="105"/>
      <c r="Q100" s="106"/>
    </row>
    <row r="101" spans="1:17">
      <c r="A101" s="75"/>
      <c r="B101" s="76"/>
      <c r="C101" s="107">
        <f t="shared" si="5"/>
        <v>94</v>
      </c>
      <c r="D101" s="108"/>
      <c r="E101" s="108"/>
      <c r="F101" s="108"/>
      <c r="G101" s="108"/>
      <c r="H101" s="109" t="str">
        <f t="shared" si="6"/>
        <v/>
      </c>
      <c r="I101" s="105"/>
      <c r="J101" s="105"/>
      <c r="K101" s="105"/>
      <c r="L101" s="105"/>
      <c r="M101" s="110"/>
      <c r="N101" s="110"/>
      <c r="O101" s="110"/>
      <c r="P101" s="105"/>
      <c r="Q101" s="106"/>
    </row>
    <row r="102" spans="1:17">
      <c r="A102" s="75"/>
      <c r="B102" s="76"/>
      <c r="C102" s="107">
        <f t="shared" si="5"/>
        <v>95</v>
      </c>
      <c r="D102" s="108"/>
      <c r="E102" s="108"/>
      <c r="F102" s="108"/>
      <c r="G102" s="108"/>
      <c r="H102" s="109" t="str">
        <f t="shared" si="6"/>
        <v/>
      </c>
      <c r="I102" s="105"/>
      <c r="J102" s="105"/>
      <c r="K102" s="105"/>
      <c r="L102" s="105"/>
      <c r="M102" s="110"/>
      <c r="N102" s="110"/>
      <c r="O102" s="110"/>
      <c r="P102" s="105"/>
      <c r="Q102" s="106"/>
    </row>
    <row r="103" spans="1:17">
      <c r="A103" s="75"/>
      <c r="B103" s="76"/>
      <c r="C103" s="107">
        <f t="shared" si="5"/>
        <v>96</v>
      </c>
      <c r="D103" s="108"/>
      <c r="E103" s="108"/>
      <c r="F103" s="108"/>
      <c r="G103" s="108"/>
      <c r="H103" s="109" t="str">
        <f t="shared" si="6"/>
        <v/>
      </c>
      <c r="I103" s="105"/>
      <c r="J103" s="105"/>
      <c r="K103" s="105"/>
      <c r="L103" s="105"/>
      <c r="M103" s="110"/>
      <c r="N103" s="110"/>
      <c r="O103" s="110"/>
      <c r="P103" s="105"/>
      <c r="Q103" s="106"/>
    </row>
    <row r="104" spans="1:17">
      <c r="A104" s="75"/>
      <c r="B104" s="76"/>
      <c r="C104" s="107">
        <f t="shared" si="5"/>
        <v>97</v>
      </c>
      <c r="D104" s="108"/>
      <c r="E104" s="108"/>
      <c r="F104" s="108"/>
      <c r="G104" s="108"/>
      <c r="H104" s="109" t="str">
        <f t="shared" si="6"/>
        <v/>
      </c>
      <c r="I104" s="105"/>
      <c r="J104" s="105"/>
      <c r="K104" s="105"/>
      <c r="L104" s="105"/>
      <c r="M104" s="110"/>
      <c r="N104" s="110"/>
      <c r="O104" s="110"/>
      <c r="P104" s="105"/>
      <c r="Q104" s="106"/>
    </row>
    <row r="105" spans="1:17">
      <c r="A105" s="75"/>
      <c r="B105" s="76"/>
      <c r="C105" s="107">
        <f t="shared" si="5"/>
        <v>98</v>
      </c>
      <c r="D105" s="108"/>
      <c r="E105" s="108"/>
      <c r="F105" s="108"/>
      <c r="G105" s="108"/>
      <c r="H105" s="109" t="str">
        <f t="shared" si="6"/>
        <v/>
      </c>
      <c r="I105" s="105"/>
      <c r="J105" s="105"/>
      <c r="K105" s="105"/>
      <c r="L105" s="105"/>
      <c r="M105" s="110"/>
      <c r="N105" s="110"/>
      <c r="O105" s="110"/>
      <c r="P105" s="105"/>
      <c r="Q105" s="106"/>
    </row>
    <row r="106" spans="1:17">
      <c r="A106" s="75"/>
      <c r="B106" s="76"/>
      <c r="C106" s="107">
        <f t="shared" si="5"/>
        <v>99</v>
      </c>
      <c r="D106" s="108"/>
      <c r="E106" s="108"/>
      <c r="F106" s="108"/>
      <c r="G106" s="108"/>
      <c r="H106" s="109" t="str">
        <f t="shared" si="6"/>
        <v/>
      </c>
      <c r="I106" s="105"/>
      <c r="J106" s="105"/>
      <c r="K106" s="105"/>
      <c r="L106" s="105"/>
      <c r="M106" s="110"/>
      <c r="N106" s="110"/>
      <c r="O106" s="110"/>
      <c r="P106" s="105"/>
      <c r="Q106" s="106"/>
    </row>
    <row r="107" spans="1:17">
      <c r="A107" s="111"/>
      <c r="B107" s="76"/>
      <c r="C107" s="112">
        <f t="shared" si="5"/>
        <v>100</v>
      </c>
      <c r="D107" s="113"/>
      <c r="E107" s="113"/>
      <c r="F107" s="113"/>
      <c r="G107" s="113"/>
      <c r="H107" s="114" t="str">
        <f t="shared" si="6"/>
        <v/>
      </c>
      <c r="I107" s="115"/>
      <c r="J107" s="115"/>
      <c r="K107" s="115"/>
      <c r="L107" s="115"/>
      <c r="M107" s="116"/>
      <c r="N107" s="116"/>
      <c r="O107" s="116"/>
      <c r="P107" s="115"/>
      <c r="Q107" s="117"/>
    </row>
  </sheetData>
  <mergeCells count="3">
    <mergeCell ref="C2:D2"/>
    <mergeCell ref="C3:H3"/>
    <mergeCell ref="I3:O3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zoomScaleNormal="100" zoomScalePageLayoutView="60" workbookViewId="0">
      <selection activeCell="C15" sqref="C15"/>
    </sheetView>
  </sheetViews>
  <sheetFormatPr defaultRowHeight="14.25"/>
  <cols>
    <col min="1" max="1" width="1.25" style="1"/>
    <col min="2" max="2" width="3" style="1"/>
    <col min="3" max="3" width="18" style="1"/>
    <col min="4" max="4" width="4.25" style="1"/>
    <col min="5" max="5" width="28.75" style="1"/>
    <col min="6" max="6" width="7.5" style="1"/>
    <col min="7" max="7" width="9.75" style="1"/>
    <col min="8" max="8" width="9.625" style="1"/>
    <col min="9" max="9" width="3.5" style="1"/>
    <col min="10" max="10" width="5.75" style="1"/>
    <col min="11" max="11" width="8" style="1"/>
    <col min="12" max="12" width="21.25" style="1"/>
    <col min="13" max="13" width="7.5" style="1"/>
    <col min="14" max="15" width="5.75" style="1"/>
    <col min="16" max="16" width="21.25" style="1"/>
    <col min="17" max="17" width="7.5" style="1"/>
    <col min="18" max="19" width="5.75" style="1"/>
    <col min="20" max="20" width="21.25" style="1"/>
    <col min="21" max="21" width="7.625" style="1"/>
    <col min="22" max="23" width="5.75" style="1"/>
    <col min="24" max="24" width="21.25" style="1"/>
    <col min="25" max="25" width="7.5" style="1"/>
    <col min="26" max="27" width="5.75" style="1"/>
    <col min="28" max="28" width="21.25" style="1"/>
    <col min="29" max="29" width="8.25" style="1"/>
    <col min="30" max="31" width="5.75" style="1"/>
    <col min="32" max="32" width="21.25" style="1"/>
    <col min="33" max="33" width="7.625" style="1"/>
    <col min="34" max="35" width="5.75" style="1"/>
    <col min="36" max="36" width="21.25" style="1"/>
    <col min="37" max="37" width="7.75" style="1"/>
    <col min="38" max="38" width="38" style="1"/>
    <col min="39" max="1025" width="9.5" style="1"/>
  </cols>
  <sheetData>
    <row r="1" spans="1:52" s="2" customFormat="1" ht="56.25"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145</v>
      </c>
      <c r="H1" s="2" t="s">
        <v>146</v>
      </c>
      <c r="I1" s="2" t="s">
        <v>147</v>
      </c>
      <c r="K1" s="2" t="str">
        <f>'WIN LAYERS'!B1&amp;" Lyr 1"</f>
        <v>WinMat. ID Lyr 1</v>
      </c>
      <c r="L1" s="2" t="str">
        <f>'WIN LAYERS'!C1&amp;" Lyr 1"</f>
        <v>WinMat. Name Lyr 1</v>
      </c>
      <c r="M1" s="2" t="s">
        <v>148</v>
      </c>
      <c r="O1" s="2" t="str">
        <f>'WIN LAYERS'!B1&amp;" Lyr 2"</f>
        <v>WinMat. ID Lyr 2</v>
      </c>
      <c r="P1" s="2" t="str">
        <f>'WIN LAYERS'!C1&amp;" Lyr 2"</f>
        <v>WinMat. Name Lyr 2</v>
      </c>
      <c r="Q1" s="2" t="s">
        <v>149</v>
      </c>
      <c r="S1" s="2" t="str">
        <f>'WIN LAYERS'!B1&amp;" Lyr 3"</f>
        <v>WinMat. ID Lyr 3</v>
      </c>
      <c r="T1" s="2" t="str">
        <f>'WIN LAYERS'!C1&amp;" Lyr 3"</f>
        <v>WinMat. Name Lyr 3</v>
      </c>
      <c r="U1" s="2" t="s">
        <v>150</v>
      </c>
      <c r="W1" s="2" t="str">
        <f>'WIN LAYERS'!B1&amp;" Lyr 4"</f>
        <v>WinMat. ID Lyr 4</v>
      </c>
      <c r="X1" s="2" t="str">
        <f>'WIN LAYERS'!C1&amp;" Lyr 4"</f>
        <v>WinMat. Name Lyr 4</v>
      </c>
      <c r="Y1" s="2" t="s">
        <v>151</v>
      </c>
      <c r="AA1" s="2" t="str">
        <f>'WIN LAYERS'!B1&amp;" Lyr 5"</f>
        <v>WinMat. ID Lyr 5</v>
      </c>
      <c r="AB1" s="2" t="str">
        <f>'WIN LAYERS'!C1&amp;" Lyr 5"</f>
        <v>WinMat. Name Lyr 5</v>
      </c>
      <c r="AC1" s="2" t="s">
        <v>152</v>
      </c>
      <c r="AE1" s="2" t="str">
        <f>'WIN LAYERS'!B1&amp;" Lyr 6"</f>
        <v>WinMat. ID Lyr 6</v>
      </c>
      <c r="AF1" s="2" t="str">
        <f>'WIN LAYERS'!C1&amp;" Lyr 6"</f>
        <v>WinMat. Name Lyr 6</v>
      </c>
      <c r="AG1" s="2" t="s">
        <v>153</v>
      </c>
      <c r="AI1" s="2" t="str">
        <f>'WIN LAYERS'!B1&amp;" Lyr 7"</f>
        <v>WinMat. ID Lyr 7</v>
      </c>
      <c r="AJ1" s="2" t="str">
        <f>'WIN LAYERS'!C1&amp;" Lyr 7"</f>
        <v>WinMat. Name Lyr 7</v>
      </c>
      <c r="AK1" s="2" t="s">
        <v>154</v>
      </c>
      <c r="AL1" s="2" t="s">
        <v>155</v>
      </c>
    </row>
    <row r="2" spans="1:52" ht="18.95" customHeight="1">
      <c r="B2" s="118" t="s">
        <v>156</v>
      </c>
      <c r="C2" s="118"/>
      <c r="D2" s="118"/>
      <c r="E2" s="118"/>
      <c r="F2" s="119"/>
      <c r="G2" s="433"/>
      <c r="H2" s="433"/>
      <c r="I2" s="433"/>
      <c r="J2" s="428" t="s">
        <v>157</v>
      </c>
      <c r="K2" s="428"/>
      <c r="L2" s="429">
        <f>CONSTRUCTIONS!$J2</f>
        <v>0</v>
      </c>
      <c r="M2" s="429"/>
      <c r="N2" s="429"/>
      <c r="O2" s="429"/>
      <c r="P2" s="120" t="s">
        <v>158</v>
      </c>
      <c r="Q2" s="120"/>
      <c r="R2" s="430">
        <f>CONSTRUCTIONS!$S2</f>
        <v>0</v>
      </c>
      <c r="S2" s="430"/>
      <c r="T2" s="430"/>
      <c r="U2" s="79"/>
      <c r="V2" s="434">
        <v>40991</v>
      </c>
      <c r="W2" s="434"/>
      <c r="X2" s="434"/>
      <c r="Y2" s="121"/>
      <c r="Z2" s="428" t="s">
        <v>157</v>
      </c>
      <c r="AA2" s="428"/>
      <c r="AB2" s="429">
        <f>CONSTRUCTIONS!$J2</f>
        <v>0</v>
      </c>
      <c r="AC2" s="429"/>
      <c r="AD2" s="429"/>
      <c r="AE2" s="429"/>
      <c r="AF2" s="120" t="s">
        <v>158</v>
      </c>
      <c r="AG2" s="120"/>
      <c r="AH2" s="430">
        <f>CONSTRUCTIONS!$S2</f>
        <v>0</v>
      </c>
      <c r="AI2" s="430"/>
      <c r="AJ2" s="430"/>
      <c r="AK2" s="79"/>
      <c r="AL2" s="122">
        <v>40991</v>
      </c>
      <c r="AM2" s="122"/>
      <c r="AN2" s="122"/>
    </row>
    <row r="3" spans="1:52" ht="35.25" customHeight="1">
      <c r="A3" s="9"/>
      <c r="B3" s="431" t="s">
        <v>159</v>
      </c>
      <c r="C3" s="431"/>
      <c r="D3" s="431"/>
      <c r="E3" s="431"/>
      <c r="F3" s="431"/>
      <c r="G3" s="432" t="s">
        <v>160</v>
      </c>
      <c r="H3" s="432"/>
      <c r="I3" s="123"/>
      <c r="J3" s="431" t="s">
        <v>161</v>
      </c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  <c r="Z3" s="431" t="s">
        <v>161</v>
      </c>
      <c r="AA3" s="431"/>
      <c r="AB3" s="431"/>
      <c r="AC3" s="431"/>
      <c r="AD3" s="431"/>
      <c r="AE3" s="431"/>
      <c r="AF3" s="431"/>
      <c r="AG3" s="431"/>
      <c r="AH3" s="431"/>
      <c r="AI3" s="431"/>
      <c r="AJ3" s="431"/>
      <c r="AK3" s="431"/>
      <c r="AL3" s="124"/>
      <c r="AM3" s="125"/>
    </row>
    <row r="4" spans="1:52" ht="19.5" customHeight="1">
      <c r="A4" s="126"/>
      <c r="B4" s="127" t="s">
        <v>25</v>
      </c>
      <c r="C4" s="128" t="s">
        <v>162</v>
      </c>
      <c r="D4" s="129" t="s">
        <v>25</v>
      </c>
      <c r="E4" s="130" t="s">
        <v>163</v>
      </c>
      <c r="F4" s="128"/>
      <c r="G4" s="131" t="s">
        <v>164</v>
      </c>
      <c r="H4" s="132" t="s">
        <v>165</v>
      </c>
      <c r="I4" s="427" t="s">
        <v>166</v>
      </c>
      <c r="J4" s="425" t="s">
        <v>30</v>
      </c>
      <c r="K4" s="425"/>
      <c r="L4" s="425"/>
      <c r="M4" s="425"/>
      <c r="N4" s="425" t="s">
        <v>31</v>
      </c>
      <c r="O4" s="425"/>
      <c r="P4" s="425"/>
      <c r="Q4" s="425"/>
      <c r="R4" s="425" t="s">
        <v>32</v>
      </c>
      <c r="S4" s="425"/>
      <c r="T4" s="425"/>
      <c r="U4" s="425"/>
      <c r="V4" s="426" t="s">
        <v>33</v>
      </c>
      <c r="W4" s="426"/>
      <c r="X4" s="426"/>
      <c r="Y4" s="426"/>
      <c r="Z4" s="425" t="s">
        <v>34</v>
      </c>
      <c r="AA4" s="425"/>
      <c r="AB4" s="425"/>
      <c r="AC4" s="425"/>
      <c r="AD4" s="426" t="s">
        <v>167</v>
      </c>
      <c r="AE4" s="426"/>
      <c r="AF4" s="426"/>
      <c r="AG4" s="426"/>
      <c r="AH4" s="425" t="s">
        <v>168</v>
      </c>
      <c r="AI4" s="425"/>
      <c r="AJ4" s="425"/>
      <c r="AK4" s="425"/>
      <c r="AL4" s="133" t="s">
        <v>35</v>
      </c>
      <c r="AM4" s="125"/>
    </row>
    <row r="5" spans="1:52" ht="25.5">
      <c r="A5" s="9"/>
      <c r="B5" s="134"/>
      <c r="C5" s="135"/>
      <c r="D5" s="136"/>
      <c r="E5" s="137"/>
      <c r="F5" s="138" t="s">
        <v>36</v>
      </c>
      <c r="G5" s="139" t="s">
        <v>169</v>
      </c>
      <c r="H5" s="140" t="s">
        <v>170</v>
      </c>
      <c r="I5" s="427"/>
      <c r="J5" s="141"/>
      <c r="K5" s="142" t="s">
        <v>25</v>
      </c>
      <c r="L5" s="143" t="s">
        <v>41</v>
      </c>
      <c r="M5" s="144" t="s">
        <v>36</v>
      </c>
      <c r="N5" s="141"/>
      <c r="O5" s="142" t="str">
        <f>K5</f>
        <v>#</v>
      </c>
      <c r="P5" s="143" t="s">
        <v>41</v>
      </c>
      <c r="Q5" s="144" t="s">
        <v>36</v>
      </c>
      <c r="R5" s="141"/>
      <c r="S5" s="142" t="str">
        <f>K5</f>
        <v>#</v>
      </c>
      <c r="T5" s="143" t="s">
        <v>41</v>
      </c>
      <c r="U5" s="144" t="s">
        <v>36</v>
      </c>
      <c r="V5" s="145"/>
      <c r="W5" s="142" t="str">
        <f>K5</f>
        <v>#</v>
      </c>
      <c r="X5" s="143" t="s">
        <v>41</v>
      </c>
      <c r="Y5" s="146" t="s">
        <v>36</v>
      </c>
      <c r="Z5" s="141"/>
      <c r="AA5" s="142" t="str">
        <f>K5</f>
        <v>#</v>
      </c>
      <c r="AB5" s="143" t="s">
        <v>41</v>
      </c>
      <c r="AC5" s="144" t="s">
        <v>36</v>
      </c>
      <c r="AD5" s="145"/>
      <c r="AE5" s="142" t="str">
        <f>K5</f>
        <v>#</v>
      </c>
      <c r="AF5" s="143" t="s">
        <v>41</v>
      </c>
      <c r="AG5" s="146" t="s">
        <v>36</v>
      </c>
      <c r="AH5" s="141"/>
      <c r="AI5" s="142" t="str">
        <f>K5</f>
        <v>#</v>
      </c>
      <c r="AJ5" s="143" t="s">
        <v>41</v>
      </c>
      <c r="AK5" s="144" t="s">
        <v>36</v>
      </c>
      <c r="AL5" s="147"/>
      <c r="AM5" s="125"/>
    </row>
    <row r="6" spans="1:52" ht="9.75" customHeight="1">
      <c r="A6" s="9"/>
      <c r="B6" s="148"/>
      <c r="C6" s="149"/>
      <c r="D6" s="150"/>
      <c r="E6" s="151"/>
      <c r="F6" s="149"/>
      <c r="G6" s="152"/>
      <c r="H6" s="153"/>
      <c r="I6" s="154"/>
      <c r="J6" s="155"/>
      <c r="K6" s="156"/>
      <c r="L6" s="156"/>
      <c r="M6" s="157"/>
      <c r="N6" s="155"/>
      <c r="O6" s="156"/>
      <c r="P6" s="156"/>
      <c r="Q6" s="157"/>
      <c r="R6" s="155"/>
      <c r="S6" s="156"/>
      <c r="T6" s="156"/>
      <c r="U6" s="157"/>
      <c r="V6" s="152"/>
      <c r="W6" s="156"/>
      <c r="X6" s="156"/>
      <c r="Y6" s="158"/>
      <c r="Z6" s="155"/>
      <c r="AA6" s="156"/>
      <c r="AB6" s="156"/>
      <c r="AC6" s="157"/>
      <c r="AD6" s="152"/>
      <c r="AE6" s="156"/>
      <c r="AF6" s="156"/>
      <c r="AG6" s="158"/>
      <c r="AH6" s="155"/>
      <c r="AI6" s="156"/>
      <c r="AJ6" s="156"/>
      <c r="AK6" s="159"/>
      <c r="AL6" s="147"/>
      <c r="AM6" s="125"/>
      <c r="AZ6" s="1" t="s">
        <v>43</v>
      </c>
    </row>
    <row r="7" spans="1:52">
      <c r="A7" s="9"/>
      <c r="B7" s="160"/>
      <c r="C7" s="161"/>
      <c r="D7" s="162" t="s">
        <v>25</v>
      </c>
      <c r="E7" s="163"/>
      <c r="F7" s="164"/>
      <c r="G7" s="165"/>
      <c r="H7" s="166"/>
      <c r="I7" s="167"/>
      <c r="J7" s="168"/>
      <c r="K7" s="169"/>
      <c r="L7" s="169"/>
      <c r="M7" s="164"/>
      <c r="N7" s="168"/>
      <c r="O7" s="169"/>
      <c r="P7" s="169"/>
      <c r="Q7" s="170"/>
      <c r="R7" s="168"/>
      <c r="S7" s="169"/>
      <c r="T7" s="169"/>
      <c r="U7" s="170"/>
      <c r="V7" s="171"/>
      <c r="W7" s="169"/>
      <c r="X7" s="169"/>
      <c r="Y7" s="163"/>
      <c r="Z7" s="168"/>
      <c r="AA7" s="169"/>
      <c r="AB7" s="169"/>
      <c r="AC7" s="170"/>
      <c r="AD7" s="171"/>
      <c r="AE7" s="169"/>
      <c r="AF7" s="169"/>
      <c r="AG7" s="163"/>
      <c r="AH7" s="168"/>
      <c r="AI7" s="169"/>
      <c r="AJ7" s="169"/>
      <c r="AK7" s="172"/>
      <c r="AL7" s="173"/>
      <c r="AM7" s="125"/>
    </row>
    <row r="8" spans="1:52" ht="15">
      <c r="A8" s="9"/>
      <c r="B8" s="174">
        <v>1</v>
      </c>
      <c r="C8" s="45" t="s">
        <v>171</v>
      </c>
      <c r="D8" s="175">
        <v>5</v>
      </c>
      <c r="E8" s="174" t="str">
        <f t="shared" ref="E8:E39" si="0">IF($D8="","",VLOOKUP($D8,PreDefWindowNames,2,0))</f>
        <v>Sgl Bronze 3mm</v>
      </c>
      <c r="F8" s="176" t="s">
        <v>46</v>
      </c>
      <c r="G8" s="177">
        <f t="shared" ref="G8:G39" si="1">1/(H8+0.03+0.12)</f>
        <v>1.3513513513513511</v>
      </c>
      <c r="H8" s="178">
        <f t="shared" ref="H8:H39" si="2">IF(C8="","",IF(E8="",IF(K8="",0,VLOOKUP(K8,WinLayersData,5,0)+IF(O8="",0,VLOOKUP(O8,WinLayersData,5,0)+IF(S8="",0,VLOOKUP(S8,WinLayersData,5,0)+IF(W8="",0,VLOOKUP(W8,WinLayersData,5,0)+IF(AA8="",0,VLOOKUP(AA8,WinLayersData,5,0)+IF(AE8="",0,VLOOKUP(AE8,WinLayersData,5,0)+IF(AI8="",0,VLOOKUP(AI8,WinLayersData,5,0)))))))),VLOOKUP(D8,TemplWinData,5,0)))</f>
        <v>0.59000000000000008</v>
      </c>
      <c r="I8" s="179">
        <f t="shared" ref="I8:I39" si="3">IF(NOT(AJ8=""),7,IF(NOT(AF8=""),6,IF(NOT(AB8=""),5,IF(NOT(X8=""),4,IF(NOT(T8=""),3,IF(NOT(P8=""),2,IF(NOT(L8=""),1,0)))))))</f>
        <v>1</v>
      </c>
      <c r="J8" s="180" t="str">
        <f t="shared" ref="J8:J39" si="4">IF($C8="","",IF($D8="","   #→",""))</f>
        <v/>
      </c>
      <c r="K8" s="181"/>
      <c r="L8" s="174" t="str">
        <f t="shared" ref="L8:L39" si="5">IF($C8="","",IF($E8="",IF(K8="","",VLOOKUP(K8,WindowMatNames,2,0)),VLOOKUP($D8,PreDefWindows,9,0)))</f>
        <v>BRONZE 3MM</v>
      </c>
      <c r="M8" s="182" t="s">
        <v>46</v>
      </c>
      <c r="N8" s="183" t="str">
        <f t="shared" ref="N8:N39" si="6">IF($C8="","",IF($D8="","   No:",""))</f>
        <v/>
      </c>
      <c r="O8" s="184"/>
      <c r="P8" s="185" t="str">
        <f t="shared" ref="P8:P39" si="7">IF($C8="","",IF($E8="",IF(O8="","",VLOOKUP(O8,WindowMatNames,2,0)),VLOOKUP($D8,PreDefWindows,11,0)))</f>
        <v/>
      </c>
      <c r="Q8" s="176" t="s">
        <v>46</v>
      </c>
      <c r="R8" s="186" t="str">
        <f t="shared" ref="R8:R39" si="8">IF($C8="","",IF($D8="","   No:",""))</f>
        <v/>
      </c>
      <c r="S8" s="181"/>
      <c r="T8" s="174" t="str">
        <f t="shared" ref="T8:T39" si="9">IF($C8="","",IF($E8="",IF(S8="","",VLOOKUP(S8,WindowMatNames,2,0)),VLOOKUP($D8,PreDefWindows,13,0)))</f>
        <v/>
      </c>
      <c r="U8" s="182" t="s">
        <v>46</v>
      </c>
      <c r="V8" s="183" t="str">
        <f t="shared" ref="V8:V39" si="10">IF($C8="","",IF($D8="","   No:",""))</f>
        <v/>
      </c>
      <c r="W8" s="184"/>
      <c r="X8" s="185" t="str">
        <f t="shared" ref="X8:X39" si="11">IF($C8="","",IF($E8="",IF(W8="","",VLOOKUP(W8,WindowMatNames,2,0)),VLOOKUP($D8,PreDefWindows,15,0)))</f>
        <v/>
      </c>
      <c r="Y8" s="176" t="s">
        <v>46</v>
      </c>
      <c r="Z8" s="186" t="str">
        <f t="shared" ref="Z8:Z39" si="12">IF($C8="","",IF($D8="","   No:",""))</f>
        <v/>
      </c>
      <c r="AA8" s="181"/>
      <c r="AB8" s="174" t="str">
        <f t="shared" ref="AB8:AB39" si="13">IF($C8="","",IF($E8="",IF(AA8="","",VLOOKUP(AA8,WindowMatNames,2,0)),VLOOKUP($D8,PreDefWindows,17,0)))</f>
        <v/>
      </c>
      <c r="AC8" s="182" t="s">
        <v>46</v>
      </c>
      <c r="AD8" s="183" t="str">
        <f t="shared" ref="AD8:AD39" si="14">IF($C8="","",IF($D8="","   No:",""))</f>
        <v/>
      </c>
      <c r="AE8" s="184"/>
      <c r="AF8" s="185" t="str">
        <f t="shared" ref="AF8:AF39" si="15">IF($C8="","",IF($E8="",IF(AE8="","",VLOOKUP(AE8,WindowMatNames,2,0)),VLOOKUP($D8,PreDefWindows,19,0)))</f>
        <v/>
      </c>
      <c r="AG8" s="176" t="s">
        <v>46</v>
      </c>
      <c r="AH8" s="183" t="str">
        <f t="shared" ref="AH8:AH39" si="16">IF($C8="","",IF($D8="","   No:",""))</f>
        <v/>
      </c>
      <c r="AI8" s="184"/>
      <c r="AJ8" s="185" t="str">
        <f t="shared" ref="AJ8:AJ39" si="17">IF($C8="","",IF($E8="",IF(AI8="","",VLOOKUP(AI8,WindowMatNames,2,0)),VLOOKUP($D8,PreDefWindows,21,0)))</f>
        <v/>
      </c>
      <c r="AK8" s="176" t="s">
        <v>46</v>
      </c>
      <c r="AL8" s="187"/>
      <c r="AM8" s="125"/>
      <c r="AZ8" s="1" t="s">
        <v>46</v>
      </c>
    </row>
    <row r="9" spans="1:52" ht="15">
      <c r="A9" s="9"/>
      <c r="B9" s="174">
        <f t="shared" ref="B9:B39" si="18">B8+1</f>
        <v>2</v>
      </c>
      <c r="C9" s="188" t="s">
        <v>172</v>
      </c>
      <c r="D9" s="175">
        <v>2</v>
      </c>
      <c r="E9" s="174" t="str">
        <f t="shared" si="0"/>
        <v>Sgl Clr 6mm</v>
      </c>
      <c r="F9" s="189"/>
      <c r="G9" s="177">
        <f t="shared" si="1"/>
        <v>1.408450704225352</v>
      </c>
      <c r="H9" s="178">
        <f t="shared" si="2"/>
        <v>0.56000000000000005</v>
      </c>
      <c r="I9" s="179">
        <f t="shared" si="3"/>
        <v>1</v>
      </c>
      <c r="J9" s="180" t="str">
        <f t="shared" si="4"/>
        <v/>
      </c>
      <c r="K9" s="181"/>
      <c r="L9" s="174" t="str">
        <f t="shared" si="5"/>
        <v>CLEAR 6MM</v>
      </c>
      <c r="M9" s="190"/>
      <c r="N9" s="191" t="str">
        <f t="shared" si="6"/>
        <v/>
      </c>
      <c r="O9" s="104"/>
      <c r="P9" s="192" t="str">
        <f t="shared" si="7"/>
        <v/>
      </c>
      <c r="Q9" s="189"/>
      <c r="R9" s="186" t="str">
        <f t="shared" si="8"/>
        <v/>
      </c>
      <c r="S9" s="181"/>
      <c r="T9" s="174" t="str">
        <f t="shared" si="9"/>
        <v/>
      </c>
      <c r="U9" s="190"/>
      <c r="V9" s="191" t="str">
        <f t="shared" si="10"/>
        <v/>
      </c>
      <c r="W9" s="104"/>
      <c r="X9" s="192" t="str">
        <f t="shared" si="11"/>
        <v/>
      </c>
      <c r="Y9" s="189"/>
      <c r="Z9" s="186" t="str">
        <f t="shared" si="12"/>
        <v/>
      </c>
      <c r="AA9" s="181"/>
      <c r="AB9" s="174" t="str">
        <f t="shared" si="13"/>
        <v/>
      </c>
      <c r="AC9" s="190"/>
      <c r="AD9" s="191" t="str">
        <f t="shared" si="14"/>
        <v/>
      </c>
      <c r="AE9" s="104"/>
      <c r="AF9" s="192" t="str">
        <f t="shared" si="15"/>
        <v/>
      </c>
      <c r="AG9" s="189"/>
      <c r="AH9" s="191" t="str">
        <f t="shared" si="16"/>
        <v/>
      </c>
      <c r="AI9" s="104"/>
      <c r="AJ9" s="192" t="str">
        <f t="shared" si="17"/>
        <v/>
      </c>
      <c r="AK9" s="189"/>
      <c r="AL9" s="193"/>
      <c r="AM9" s="125"/>
      <c r="AZ9" s="1" t="s">
        <v>52</v>
      </c>
    </row>
    <row r="10" spans="1:52" ht="15">
      <c r="A10" s="9"/>
      <c r="B10" s="174">
        <f t="shared" si="18"/>
        <v>3</v>
      </c>
      <c r="C10" s="188" t="s">
        <v>173</v>
      </c>
      <c r="D10" s="175">
        <v>75</v>
      </c>
      <c r="E10" s="174" t="str">
        <f t="shared" si="0"/>
        <v>Dbl Ref-A-M Clr 6mm/13mm Air</v>
      </c>
      <c r="F10" s="189"/>
      <c r="G10" s="177">
        <f t="shared" si="1"/>
        <v>0.69444444444444409</v>
      </c>
      <c r="H10" s="178">
        <f t="shared" si="2"/>
        <v>1.2900000000000007</v>
      </c>
      <c r="I10" s="179">
        <f t="shared" si="3"/>
        <v>3</v>
      </c>
      <c r="J10" s="180" t="str">
        <f t="shared" si="4"/>
        <v/>
      </c>
      <c r="K10" s="181"/>
      <c r="L10" s="174" t="str">
        <f t="shared" si="5"/>
        <v>REF A CLEAR MID 6MM</v>
      </c>
      <c r="M10" s="190"/>
      <c r="N10" s="191" t="str">
        <f t="shared" si="6"/>
        <v/>
      </c>
      <c r="O10" s="104"/>
      <c r="P10" s="192" t="str">
        <f t="shared" si="7"/>
        <v>AIR 13MM</v>
      </c>
      <c r="Q10" s="189"/>
      <c r="R10" s="186" t="str">
        <f t="shared" si="8"/>
        <v/>
      </c>
      <c r="S10" s="181"/>
      <c r="T10" s="174" t="str">
        <f t="shared" si="9"/>
        <v>CLEAR 6MM</v>
      </c>
      <c r="U10" s="190"/>
      <c r="V10" s="191" t="str">
        <f t="shared" si="10"/>
        <v/>
      </c>
      <c r="W10" s="104"/>
      <c r="X10" s="192" t="str">
        <f t="shared" si="11"/>
        <v/>
      </c>
      <c r="Y10" s="189"/>
      <c r="Z10" s="186" t="str">
        <f t="shared" si="12"/>
        <v/>
      </c>
      <c r="AA10" s="181"/>
      <c r="AB10" s="174" t="str">
        <f t="shared" si="13"/>
        <v/>
      </c>
      <c r="AC10" s="190"/>
      <c r="AD10" s="191" t="str">
        <f t="shared" si="14"/>
        <v/>
      </c>
      <c r="AE10" s="104"/>
      <c r="AF10" s="192" t="str">
        <f t="shared" si="15"/>
        <v/>
      </c>
      <c r="AG10" s="189"/>
      <c r="AH10" s="191" t="str">
        <f t="shared" si="16"/>
        <v/>
      </c>
      <c r="AI10" s="104"/>
      <c r="AJ10" s="192" t="str">
        <f t="shared" si="17"/>
        <v/>
      </c>
      <c r="AK10" s="189"/>
      <c r="AL10" s="193"/>
      <c r="AM10" s="125"/>
      <c r="AZ10" s="1" t="s">
        <v>57</v>
      </c>
    </row>
    <row r="11" spans="1:52" ht="15">
      <c r="A11" s="9"/>
      <c r="B11" s="174">
        <f t="shared" si="18"/>
        <v>4</v>
      </c>
      <c r="C11" s="188" t="s">
        <v>174</v>
      </c>
      <c r="D11" s="175">
        <v>3</v>
      </c>
      <c r="E11" s="174" t="str">
        <f t="shared" si="0"/>
        <v>Sgl Clr Low Iron 3mm</v>
      </c>
      <c r="F11" s="189"/>
      <c r="G11" s="177">
        <f t="shared" si="1"/>
        <v>1.3888888888888886</v>
      </c>
      <c r="H11" s="178">
        <f t="shared" si="2"/>
        <v>0.57000000000000006</v>
      </c>
      <c r="I11" s="179">
        <f t="shared" si="3"/>
        <v>1</v>
      </c>
      <c r="J11" s="180" t="str">
        <f t="shared" si="4"/>
        <v/>
      </c>
      <c r="K11" s="181">
        <v>1</v>
      </c>
      <c r="L11" s="174" t="str">
        <f t="shared" si="5"/>
        <v>LOW IRON 3MM</v>
      </c>
      <c r="M11" s="190"/>
      <c r="N11" s="191" t="str">
        <f t="shared" si="6"/>
        <v/>
      </c>
      <c r="O11" s="104">
        <v>2</v>
      </c>
      <c r="P11" s="192" t="str">
        <f t="shared" si="7"/>
        <v/>
      </c>
      <c r="Q11" s="189"/>
      <c r="R11" s="186" t="str">
        <f t="shared" si="8"/>
        <v/>
      </c>
      <c r="S11" s="181">
        <v>3</v>
      </c>
      <c r="T11" s="174" t="str">
        <f t="shared" si="9"/>
        <v/>
      </c>
      <c r="U11" s="190"/>
      <c r="V11" s="191" t="str">
        <f t="shared" si="10"/>
        <v/>
      </c>
      <c r="W11" s="104">
        <v>4</v>
      </c>
      <c r="X11" s="192" t="str">
        <f t="shared" si="11"/>
        <v/>
      </c>
      <c r="Y11" s="189"/>
      <c r="Z11" s="186" t="str">
        <f t="shared" si="12"/>
        <v/>
      </c>
      <c r="AA11" s="181">
        <v>5</v>
      </c>
      <c r="AB11" s="174" t="str">
        <f t="shared" si="13"/>
        <v/>
      </c>
      <c r="AC11" s="190"/>
      <c r="AD11" s="191" t="str">
        <f t="shared" si="14"/>
        <v/>
      </c>
      <c r="AE11" s="104">
        <v>6</v>
      </c>
      <c r="AF11" s="192" t="str">
        <f t="shared" si="15"/>
        <v/>
      </c>
      <c r="AG11" s="189"/>
      <c r="AH11" s="191" t="str">
        <f t="shared" si="16"/>
        <v/>
      </c>
      <c r="AI11" s="104">
        <v>7</v>
      </c>
      <c r="AJ11" s="192" t="str">
        <f t="shared" si="17"/>
        <v/>
      </c>
      <c r="AK11" s="189"/>
      <c r="AL11" s="193"/>
      <c r="AM11" s="125"/>
      <c r="AZ11" s="1" t="s">
        <v>62</v>
      </c>
    </row>
    <row r="12" spans="1:52" ht="15">
      <c r="A12" s="9"/>
      <c r="B12" s="174">
        <f t="shared" si="18"/>
        <v>5</v>
      </c>
      <c r="C12" s="188" t="s">
        <v>175</v>
      </c>
      <c r="D12" s="175">
        <v>35</v>
      </c>
      <c r="E12" s="174" t="str">
        <f t="shared" si="0"/>
        <v>Sgl Elec Abs Colored 6mm</v>
      </c>
      <c r="F12" s="189"/>
      <c r="G12" s="177">
        <f t="shared" si="1"/>
        <v>0.96153846153846112</v>
      </c>
      <c r="H12" s="178">
        <f t="shared" si="2"/>
        <v>0.89000000000000035</v>
      </c>
      <c r="I12" s="179">
        <f t="shared" si="3"/>
        <v>1</v>
      </c>
      <c r="J12" s="180" t="str">
        <f t="shared" si="4"/>
        <v/>
      </c>
      <c r="K12" s="181"/>
      <c r="L12" s="174" t="str">
        <f t="shared" si="5"/>
        <v>ECABS-1 COLORED 6MM</v>
      </c>
      <c r="M12" s="190"/>
      <c r="N12" s="191" t="str">
        <f t="shared" si="6"/>
        <v/>
      </c>
      <c r="O12" s="104"/>
      <c r="P12" s="192" t="str">
        <f t="shared" si="7"/>
        <v/>
      </c>
      <c r="Q12" s="189"/>
      <c r="R12" s="186" t="str">
        <f t="shared" si="8"/>
        <v/>
      </c>
      <c r="S12" s="181"/>
      <c r="T12" s="174" t="str">
        <f t="shared" si="9"/>
        <v/>
      </c>
      <c r="U12" s="190"/>
      <c r="V12" s="191" t="str">
        <f t="shared" si="10"/>
        <v/>
      </c>
      <c r="W12" s="104"/>
      <c r="X12" s="192" t="str">
        <f t="shared" si="11"/>
        <v/>
      </c>
      <c r="Y12" s="189"/>
      <c r="Z12" s="186" t="str">
        <f t="shared" si="12"/>
        <v/>
      </c>
      <c r="AA12" s="181"/>
      <c r="AB12" s="174" t="str">
        <f t="shared" si="13"/>
        <v/>
      </c>
      <c r="AC12" s="190"/>
      <c r="AD12" s="191" t="str">
        <f t="shared" si="14"/>
        <v/>
      </c>
      <c r="AE12" s="104"/>
      <c r="AF12" s="192" t="str">
        <f t="shared" si="15"/>
        <v/>
      </c>
      <c r="AG12" s="189"/>
      <c r="AH12" s="191" t="str">
        <f t="shared" si="16"/>
        <v/>
      </c>
      <c r="AI12" s="104"/>
      <c r="AJ12" s="192" t="str">
        <f t="shared" si="17"/>
        <v/>
      </c>
      <c r="AK12" s="189"/>
      <c r="AL12" s="193"/>
      <c r="AM12" s="125"/>
      <c r="AZ12" s="1" t="s">
        <v>68</v>
      </c>
    </row>
    <row r="13" spans="1:52" ht="15">
      <c r="A13" s="9"/>
      <c r="B13" s="174">
        <f t="shared" si="18"/>
        <v>6</v>
      </c>
      <c r="C13" s="188" t="str">
        <f t="shared" ref="C13:C39" si="19">"G"&amp;B13</f>
        <v>G6</v>
      </c>
      <c r="D13" s="175">
        <f t="shared" ref="D13:D29" si="20">D12+10</f>
        <v>45</v>
      </c>
      <c r="E13" s="174" t="str">
        <f t="shared" si="0"/>
        <v>Dbl Clr Low Iron 3mm/13mm Air</v>
      </c>
      <c r="F13" s="189"/>
      <c r="G13" s="177">
        <f t="shared" si="1"/>
        <v>0.87719298245613986</v>
      </c>
      <c r="H13" s="178">
        <f t="shared" si="2"/>
        <v>0.99000000000000044</v>
      </c>
      <c r="I13" s="179">
        <f t="shared" si="3"/>
        <v>3</v>
      </c>
      <c r="J13" s="180" t="str">
        <f t="shared" si="4"/>
        <v/>
      </c>
      <c r="K13" s="181"/>
      <c r="L13" s="174" t="str">
        <f t="shared" si="5"/>
        <v>LOW IRON 3MM</v>
      </c>
      <c r="M13" s="190"/>
      <c r="N13" s="191" t="str">
        <f t="shared" si="6"/>
        <v/>
      </c>
      <c r="O13" s="104"/>
      <c r="P13" s="192" t="str">
        <f t="shared" si="7"/>
        <v>AIR 13MM</v>
      </c>
      <c r="Q13" s="189"/>
      <c r="R13" s="186" t="str">
        <f t="shared" si="8"/>
        <v/>
      </c>
      <c r="S13" s="181"/>
      <c r="T13" s="174" t="str">
        <f t="shared" si="9"/>
        <v>LOW IRON 3MM</v>
      </c>
      <c r="U13" s="190"/>
      <c r="V13" s="191" t="str">
        <f t="shared" si="10"/>
        <v/>
      </c>
      <c r="W13" s="104"/>
      <c r="X13" s="192" t="str">
        <f t="shared" si="11"/>
        <v/>
      </c>
      <c r="Y13" s="189"/>
      <c r="Z13" s="186" t="str">
        <f t="shared" si="12"/>
        <v/>
      </c>
      <c r="AA13" s="181"/>
      <c r="AB13" s="174" t="str">
        <f t="shared" si="13"/>
        <v/>
      </c>
      <c r="AC13" s="190"/>
      <c r="AD13" s="191" t="str">
        <f t="shared" si="14"/>
        <v/>
      </c>
      <c r="AE13" s="104"/>
      <c r="AF13" s="192" t="str">
        <f t="shared" si="15"/>
        <v/>
      </c>
      <c r="AG13" s="189"/>
      <c r="AH13" s="191" t="str">
        <f t="shared" si="16"/>
        <v/>
      </c>
      <c r="AI13" s="104"/>
      <c r="AJ13" s="192" t="str">
        <f t="shared" si="17"/>
        <v/>
      </c>
      <c r="AK13" s="189"/>
      <c r="AL13" s="193"/>
      <c r="AM13" s="125"/>
      <c r="AZ13" s="1" t="s">
        <v>73</v>
      </c>
    </row>
    <row r="14" spans="1:52" ht="15">
      <c r="A14" s="9"/>
      <c r="B14" s="174">
        <f t="shared" si="18"/>
        <v>7</v>
      </c>
      <c r="C14" s="188" t="str">
        <f t="shared" si="19"/>
        <v>G7</v>
      </c>
      <c r="D14" s="175">
        <f t="shared" si="20"/>
        <v>55</v>
      </c>
      <c r="E14" s="174" t="str">
        <f t="shared" si="0"/>
        <v>Dbl Bronze 6mm/13mm Arg</v>
      </c>
      <c r="F14" s="189"/>
      <c r="G14" s="177">
        <f t="shared" si="1"/>
        <v>0.80645161290322542</v>
      </c>
      <c r="H14" s="178">
        <f t="shared" si="2"/>
        <v>1.0900000000000005</v>
      </c>
      <c r="I14" s="179">
        <f t="shared" si="3"/>
        <v>3</v>
      </c>
      <c r="J14" s="180" t="str">
        <f t="shared" si="4"/>
        <v/>
      </c>
      <c r="K14" s="181"/>
      <c r="L14" s="174" t="str">
        <f t="shared" si="5"/>
        <v>BRONZE 6MM</v>
      </c>
      <c r="M14" s="190"/>
      <c r="N14" s="191" t="str">
        <f t="shared" si="6"/>
        <v/>
      </c>
      <c r="O14" s="104"/>
      <c r="P14" s="192" t="str">
        <f t="shared" si="7"/>
        <v>ARGON 13MM</v>
      </c>
      <c r="Q14" s="189"/>
      <c r="R14" s="186" t="str">
        <f t="shared" si="8"/>
        <v/>
      </c>
      <c r="S14" s="181"/>
      <c r="T14" s="174" t="str">
        <f t="shared" si="9"/>
        <v>CLEAR 6MM</v>
      </c>
      <c r="U14" s="190"/>
      <c r="V14" s="191" t="str">
        <f t="shared" si="10"/>
        <v/>
      </c>
      <c r="W14" s="104"/>
      <c r="X14" s="192" t="str">
        <f t="shared" si="11"/>
        <v/>
      </c>
      <c r="Y14" s="189"/>
      <c r="Z14" s="186" t="str">
        <f t="shared" si="12"/>
        <v/>
      </c>
      <c r="AA14" s="181"/>
      <c r="AB14" s="174" t="str">
        <f t="shared" si="13"/>
        <v/>
      </c>
      <c r="AC14" s="190"/>
      <c r="AD14" s="191" t="str">
        <f t="shared" si="14"/>
        <v/>
      </c>
      <c r="AE14" s="104"/>
      <c r="AF14" s="192" t="str">
        <f t="shared" si="15"/>
        <v/>
      </c>
      <c r="AG14" s="189"/>
      <c r="AH14" s="191" t="str">
        <f t="shared" si="16"/>
        <v/>
      </c>
      <c r="AI14" s="104"/>
      <c r="AJ14" s="192" t="str">
        <f t="shared" si="17"/>
        <v/>
      </c>
      <c r="AK14" s="189"/>
      <c r="AL14" s="193"/>
      <c r="AM14" s="125"/>
      <c r="AZ14" s="1" t="s">
        <v>78</v>
      </c>
    </row>
    <row r="15" spans="1:52" ht="15">
      <c r="A15" s="9"/>
      <c r="B15" s="174">
        <f t="shared" si="18"/>
        <v>8</v>
      </c>
      <c r="C15" s="188" t="str">
        <f t="shared" si="19"/>
        <v>G8</v>
      </c>
      <c r="D15" s="175">
        <f t="shared" si="20"/>
        <v>65</v>
      </c>
      <c r="E15" s="174" t="str">
        <f t="shared" si="0"/>
        <v>Dbl Grey 6mm/6mm Air</v>
      </c>
      <c r="F15" s="189"/>
      <c r="G15" s="177">
        <f t="shared" si="1"/>
        <v>0.74626865671641751</v>
      </c>
      <c r="H15" s="178">
        <f t="shared" si="2"/>
        <v>1.1900000000000006</v>
      </c>
      <c r="I15" s="179">
        <f t="shared" si="3"/>
        <v>3</v>
      </c>
      <c r="J15" s="180" t="str">
        <f t="shared" si="4"/>
        <v/>
      </c>
      <c r="K15" s="181"/>
      <c r="L15" s="174" t="str">
        <f t="shared" si="5"/>
        <v>GREY 6MM</v>
      </c>
      <c r="M15" s="190"/>
      <c r="N15" s="191" t="str">
        <f t="shared" si="6"/>
        <v/>
      </c>
      <c r="O15" s="104"/>
      <c r="P15" s="192" t="str">
        <f t="shared" si="7"/>
        <v>AIR 6MM</v>
      </c>
      <c r="Q15" s="189"/>
      <c r="R15" s="186" t="str">
        <f t="shared" si="8"/>
        <v/>
      </c>
      <c r="S15" s="181"/>
      <c r="T15" s="174" t="str">
        <f t="shared" si="9"/>
        <v>CLEAR 6MM</v>
      </c>
      <c r="U15" s="190"/>
      <c r="V15" s="191" t="str">
        <f t="shared" si="10"/>
        <v/>
      </c>
      <c r="W15" s="104"/>
      <c r="X15" s="192" t="str">
        <f t="shared" si="11"/>
        <v/>
      </c>
      <c r="Y15" s="189"/>
      <c r="Z15" s="186" t="str">
        <f t="shared" si="12"/>
        <v/>
      </c>
      <c r="AA15" s="181"/>
      <c r="AB15" s="174" t="str">
        <f t="shared" si="13"/>
        <v/>
      </c>
      <c r="AC15" s="190"/>
      <c r="AD15" s="191" t="str">
        <f t="shared" si="14"/>
        <v/>
      </c>
      <c r="AE15" s="104"/>
      <c r="AF15" s="192" t="str">
        <f t="shared" si="15"/>
        <v/>
      </c>
      <c r="AG15" s="189"/>
      <c r="AH15" s="191" t="str">
        <f t="shared" si="16"/>
        <v/>
      </c>
      <c r="AI15" s="104"/>
      <c r="AJ15" s="192" t="str">
        <f t="shared" si="17"/>
        <v/>
      </c>
      <c r="AK15" s="189"/>
      <c r="AL15" s="193"/>
      <c r="AM15" s="125"/>
      <c r="AZ15" s="1" t="s">
        <v>83</v>
      </c>
    </row>
    <row r="16" spans="1:52" ht="15">
      <c r="A16" s="9"/>
      <c r="B16" s="174">
        <f t="shared" si="18"/>
        <v>9</v>
      </c>
      <c r="C16" s="188" t="str">
        <f t="shared" si="19"/>
        <v>G9</v>
      </c>
      <c r="D16" s="175">
        <f t="shared" si="20"/>
        <v>75</v>
      </c>
      <c r="E16" s="174" t="str">
        <f t="shared" si="0"/>
        <v>Dbl Ref-A-M Clr 6mm/13mm Air</v>
      </c>
      <c r="F16" s="189"/>
      <c r="G16" s="177">
        <f t="shared" si="1"/>
        <v>0.69444444444444409</v>
      </c>
      <c r="H16" s="178">
        <f t="shared" si="2"/>
        <v>1.2900000000000007</v>
      </c>
      <c r="I16" s="179">
        <f t="shared" si="3"/>
        <v>3</v>
      </c>
      <c r="J16" s="180" t="str">
        <f t="shared" si="4"/>
        <v/>
      </c>
      <c r="K16" s="181"/>
      <c r="L16" s="174" t="str">
        <f t="shared" si="5"/>
        <v>REF A CLEAR MID 6MM</v>
      </c>
      <c r="M16" s="190"/>
      <c r="N16" s="191" t="str">
        <f t="shared" si="6"/>
        <v/>
      </c>
      <c r="O16" s="104"/>
      <c r="P16" s="192" t="str">
        <f t="shared" si="7"/>
        <v>AIR 13MM</v>
      </c>
      <c r="Q16" s="189"/>
      <c r="R16" s="186" t="str">
        <f t="shared" si="8"/>
        <v/>
      </c>
      <c r="S16" s="181"/>
      <c r="T16" s="174" t="str">
        <f t="shared" si="9"/>
        <v>CLEAR 6MM</v>
      </c>
      <c r="U16" s="190"/>
      <c r="V16" s="191" t="str">
        <f t="shared" si="10"/>
        <v/>
      </c>
      <c r="W16" s="104"/>
      <c r="X16" s="192" t="str">
        <f t="shared" si="11"/>
        <v/>
      </c>
      <c r="Y16" s="189"/>
      <c r="Z16" s="186" t="str">
        <f t="shared" si="12"/>
        <v/>
      </c>
      <c r="AA16" s="181"/>
      <c r="AB16" s="174" t="str">
        <f t="shared" si="13"/>
        <v/>
      </c>
      <c r="AC16" s="190"/>
      <c r="AD16" s="191" t="str">
        <f t="shared" si="14"/>
        <v/>
      </c>
      <c r="AE16" s="104"/>
      <c r="AF16" s="192" t="str">
        <f t="shared" si="15"/>
        <v/>
      </c>
      <c r="AG16" s="189"/>
      <c r="AH16" s="191" t="str">
        <f t="shared" si="16"/>
        <v/>
      </c>
      <c r="AI16" s="104"/>
      <c r="AJ16" s="192" t="str">
        <f t="shared" si="17"/>
        <v/>
      </c>
      <c r="AK16" s="189"/>
      <c r="AL16" s="193"/>
      <c r="AM16" s="125"/>
      <c r="AZ16" s="1" t="s">
        <v>88</v>
      </c>
    </row>
    <row r="17" spans="1:39" ht="15">
      <c r="A17" s="9"/>
      <c r="B17" s="174">
        <f t="shared" si="18"/>
        <v>10</v>
      </c>
      <c r="C17" s="188" t="str">
        <f t="shared" si="19"/>
        <v>G10</v>
      </c>
      <c r="D17" s="175">
        <f t="shared" si="20"/>
        <v>85</v>
      </c>
      <c r="E17" s="174" t="str">
        <f t="shared" si="0"/>
        <v>Dbl Ref-A-M Tint 6mm/13mm Arg</v>
      </c>
      <c r="F17" s="189"/>
      <c r="G17" s="177">
        <f t="shared" si="1"/>
        <v>0.64935064935064901</v>
      </c>
      <c r="H17" s="178">
        <f t="shared" si="2"/>
        <v>1.3900000000000008</v>
      </c>
      <c r="I17" s="179">
        <f t="shared" si="3"/>
        <v>3</v>
      </c>
      <c r="J17" s="180" t="str">
        <f t="shared" si="4"/>
        <v/>
      </c>
      <c r="K17" s="181"/>
      <c r="L17" s="174" t="str">
        <f t="shared" si="5"/>
        <v>REF A TINT MID 6MM</v>
      </c>
      <c r="M17" s="190"/>
      <c r="N17" s="191" t="str">
        <f t="shared" si="6"/>
        <v/>
      </c>
      <c r="O17" s="104"/>
      <c r="P17" s="192" t="str">
        <f t="shared" si="7"/>
        <v>ARGON 13MM</v>
      </c>
      <c r="Q17" s="189"/>
      <c r="R17" s="186" t="str">
        <f t="shared" si="8"/>
        <v/>
      </c>
      <c r="S17" s="181"/>
      <c r="T17" s="174" t="str">
        <f t="shared" si="9"/>
        <v>CLEAR 6MM</v>
      </c>
      <c r="U17" s="190"/>
      <c r="V17" s="191" t="str">
        <f t="shared" si="10"/>
        <v/>
      </c>
      <c r="W17" s="104"/>
      <c r="X17" s="192" t="str">
        <f t="shared" si="11"/>
        <v/>
      </c>
      <c r="Y17" s="189"/>
      <c r="Z17" s="186" t="str">
        <f t="shared" si="12"/>
        <v/>
      </c>
      <c r="AA17" s="181"/>
      <c r="AB17" s="174" t="str">
        <f t="shared" si="13"/>
        <v/>
      </c>
      <c r="AC17" s="190"/>
      <c r="AD17" s="191" t="str">
        <f t="shared" si="14"/>
        <v/>
      </c>
      <c r="AE17" s="104"/>
      <c r="AF17" s="192" t="str">
        <f t="shared" si="15"/>
        <v/>
      </c>
      <c r="AG17" s="189"/>
      <c r="AH17" s="191" t="str">
        <f t="shared" si="16"/>
        <v/>
      </c>
      <c r="AI17" s="104"/>
      <c r="AJ17" s="192" t="str">
        <f t="shared" si="17"/>
        <v/>
      </c>
      <c r="AK17" s="189"/>
      <c r="AL17" s="193"/>
      <c r="AM17" s="125"/>
    </row>
    <row r="18" spans="1:39" ht="15">
      <c r="A18" s="9"/>
      <c r="B18" s="174">
        <f t="shared" si="18"/>
        <v>11</v>
      </c>
      <c r="C18" s="188" t="str">
        <f t="shared" si="19"/>
        <v>G11</v>
      </c>
      <c r="D18" s="175">
        <f t="shared" si="20"/>
        <v>95</v>
      </c>
      <c r="E18" s="174" t="str">
        <f t="shared" si="0"/>
        <v>Dbl Ref-B-L Tint 6mm/6mm Air</v>
      </c>
      <c r="F18" s="189"/>
      <c r="G18" s="177">
        <f t="shared" si="1"/>
        <v>0.60975609756097526</v>
      </c>
      <c r="H18" s="178">
        <f t="shared" si="2"/>
        <v>1.4900000000000009</v>
      </c>
      <c r="I18" s="179">
        <f t="shared" si="3"/>
        <v>3</v>
      </c>
      <c r="J18" s="180" t="str">
        <f t="shared" si="4"/>
        <v/>
      </c>
      <c r="K18" s="181"/>
      <c r="L18" s="174" t="str">
        <f t="shared" si="5"/>
        <v>REF B TINT LO 6MM</v>
      </c>
      <c r="M18" s="190"/>
      <c r="N18" s="191" t="str">
        <f t="shared" si="6"/>
        <v/>
      </c>
      <c r="O18" s="104"/>
      <c r="P18" s="192" t="str">
        <f t="shared" si="7"/>
        <v>AIR 6MM</v>
      </c>
      <c r="Q18" s="189"/>
      <c r="R18" s="186" t="str">
        <f t="shared" si="8"/>
        <v/>
      </c>
      <c r="S18" s="181"/>
      <c r="T18" s="174" t="str">
        <f t="shared" si="9"/>
        <v>CLEAR 6MM</v>
      </c>
      <c r="U18" s="190"/>
      <c r="V18" s="191" t="str">
        <f t="shared" si="10"/>
        <v/>
      </c>
      <c r="W18" s="104"/>
      <c r="X18" s="192" t="str">
        <f t="shared" si="11"/>
        <v/>
      </c>
      <c r="Y18" s="189"/>
      <c r="Z18" s="186" t="str">
        <f t="shared" si="12"/>
        <v/>
      </c>
      <c r="AA18" s="181"/>
      <c r="AB18" s="174" t="str">
        <f t="shared" si="13"/>
        <v/>
      </c>
      <c r="AC18" s="190"/>
      <c r="AD18" s="191" t="str">
        <f t="shared" si="14"/>
        <v/>
      </c>
      <c r="AE18" s="104"/>
      <c r="AF18" s="192" t="str">
        <f t="shared" si="15"/>
        <v/>
      </c>
      <c r="AG18" s="189"/>
      <c r="AH18" s="191" t="str">
        <f t="shared" si="16"/>
        <v/>
      </c>
      <c r="AI18" s="104"/>
      <c r="AJ18" s="192" t="str">
        <f t="shared" si="17"/>
        <v/>
      </c>
      <c r="AK18" s="189"/>
      <c r="AL18" s="193"/>
      <c r="AM18" s="125"/>
    </row>
    <row r="19" spans="1:39" ht="15">
      <c r="A19" s="9"/>
      <c r="B19" s="174">
        <f t="shared" si="18"/>
        <v>12</v>
      </c>
      <c r="C19" s="188" t="str">
        <f t="shared" si="19"/>
        <v>G12</v>
      </c>
      <c r="D19" s="175">
        <f t="shared" si="20"/>
        <v>105</v>
      </c>
      <c r="E19" s="174" t="str">
        <f t="shared" si="0"/>
        <v>Dbl Ref-C-L Clr 6mm/13mm Air</v>
      </c>
      <c r="F19" s="189"/>
      <c r="G19" s="177">
        <f t="shared" si="1"/>
        <v>0.57471264367816055</v>
      </c>
      <c r="H19" s="178">
        <f t="shared" si="2"/>
        <v>1.590000000000001</v>
      </c>
      <c r="I19" s="179">
        <f t="shared" si="3"/>
        <v>3</v>
      </c>
      <c r="J19" s="180" t="str">
        <f t="shared" si="4"/>
        <v/>
      </c>
      <c r="K19" s="181"/>
      <c r="L19" s="174" t="str">
        <f t="shared" si="5"/>
        <v>REF C CLEAR LO 6MM</v>
      </c>
      <c r="M19" s="190"/>
      <c r="N19" s="191" t="str">
        <f t="shared" si="6"/>
        <v/>
      </c>
      <c r="O19" s="104"/>
      <c r="P19" s="192" t="str">
        <f t="shared" si="7"/>
        <v>AIR 13MM</v>
      </c>
      <c r="Q19" s="189"/>
      <c r="R19" s="186" t="str">
        <f t="shared" si="8"/>
        <v/>
      </c>
      <c r="S19" s="181"/>
      <c r="T19" s="174" t="str">
        <f t="shared" si="9"/>
        <v>CLEAR 6MM</v>
      </c>
      <c r="U19" s="190"/>
      <c r="V19" s="191" t="str">
        <f t="shared" si="10"/>
        <v/>
      </c>
      <c r="W19" s="104"/>
      <c r="X19" s="192" t="str">
        <f t="shared" si="11"/>
        <v/>
      </c>
      <c r="Y19" s="189"/>
      <c r="Z19" s="186" t="str">
        <f t="shared" si="12"/>
        <v/>
      </c>
      <c r="AA19" s="181"/>
      <c r="AB19" s="174" t="str">
        <f t="shared" si="13"/>
        <v/>
      </c>
      <c r="AC19" s="190"/>
      <c r="AD19" s="191" t="str">
        <f t="shared" si="14"/>
        <v/>
      </c>
      <c r="AE19" s="104"/>
      <c r="AF19" s="192" t="str">
        <f t="shared" si="15"/>
        <v/>
      </c>
      <c r="AG19" s="189"/>
      <c r="AH19" s="191" t="str">
        <f t="shared" si="16"/>
        <v/>
      </c>
      <c r="AI19" s="104"/>
      <c r="AJ19" s="192" t="str">
        <f t="shared" si="17"/>
        <v/>
      </c>
      <c r="AK19" s="189"/>
      <c r="AL19" s="193"/>
      <c r="AM19" s="125"/>
    </row>
    <row r="20" spans="1:39" ht="15">
      <c r="A20" s="9"/>
      <c r="B20" s="174">
        <f t="shared" si="18"/>
        <v>13</v>
      </c>
      <c r="C20" s="188" t="str">
        <f t="shared" si="19"/>
        <v>G13</v>
      </c>
      <c r="D20" s="175">
        <f t="shared" si="20"/>
        <v>115</v>
      </c>
      <c r="E20" s="174" t="str">
        <f t="shared" si="0"/>
        <v>Dbl Ref-C-L Tint 6mm/13mm Arg</v>
      </c>
      <c r="F20" s="189"/>
      <c r="G20" s="177">
        <f t="shared" si="1"/>
        <v>0.54347826086956486</v>
      </c>
      <c r="H20" s="178">
        <f t="shared" si="2"/>
        <v>1.6900000000000011</v>
      </c>
      <c r="I20" s="179">
        <f t="shared" si="3"/>
        <v>3</v>
      </c>
      <c r="J20" s="180" t="str">
        <f t="shared" si="4"/>
        <v/>
      </c>
      <c r="K20" s="181"/>
      <c r="L20" s="174" t="str">
        <f t="shared" si="5"/>
        <v>REF C TINT LO 6MM</v>
      </c>
      <c r="M20" s="190"/>
      <c r="N20" s="191" t="str">
        <f t="shared" si="6"/>
        <v/>
      </c>
      <c r="O20" s="104"/>
      <c r="P20" s="192" t="str">
        <f t="shared" si="7"/>
        <v>ARGON 13MM</v>
      </c>
      <c r="Q20" s="189"/>
      <c r="R20" s="186" t="str">
        <f t="shared" si="8"/>
        <v/>
      </c>
      <c r="S20" s="181"/>
      <c r="T20" s="174" t="str">
        <f t="shared" si="9"/>
        <v>CLEAR 6MM</v>
      </c>
      <c r="U20" s="190"/>
      <c r="V20" s="191" t="str">
        <f t="shared" si="10"/>
        <v/>
      </c>
      <c r="W20" s="104"/>
      <c r="X20" s="192" t="str">
        <f t="shared" si="11"/>
        <v/>
      </c>
      <c r="Y20" s="189"/>
      <c r="Z20" s="186" t="str">
        <f t="shared" si="12"/>
        <v/>
      </c>
      <c r="AA20" s="181"/>
      <c r="AB20" s="174" t="str">
        <f t="shared" si="13"/>
        <v/>
      </c>
      <c r="AC20" s="190"/>
      <c r="AD20" s="191" t="str">
        <f t="shared" si="14"/>
        <v/>
      </c>
      <c r="AE20" s="104"/>
      <c r="AF20" s="192" t="str">
        <f t="shared" si="15"/>
        <v/>
      </c>
      <c r="AG20" s="189"/>
      <c r="AH20" s="191" t="str">
        <f t="shared" si="16"/>
        <v/>
      </c>
      <c r="AI20" s="104"/>
      <c r="AJ20" s="192" t="str">
        <f t="shared" si="17"/>
        <v/>
      </c>
      <c r="AK20" s="189"/>
      <c r="AL20" s="193"/>
      <c r="AM20" s="125"/>
    </row>
    <row r="21" spans="1:39" ht="15">
      <c r="A21" s="9"/>
      <c r="B21" s="174">
        <f t="shared" si="18"/>
        <v>14</v>
      </c>
      <c r="C21" s="188" t="str">
        <f t="shared" si="19"/>
        <v>G14</v>
      </c>
      <c r="D21" s="175">
        <f t="shared" si="20"/>
        <v>125</v>
      </c>
      <c r="E21" s="174" t="str">
        <f t="shared" si="0"/>
        <v>Dbl Ref-D Tint 6mm/6mm Air</v>
      </c>
      <c r="F21" s="189"/>
      <c r="G21" s="177">
        <f t="shared" si="1"/>
        <v>0.51546391752577281</v>
      </c>
      <c r="H21" s="178">
        <f t="shared" si="2"/>
        <v>1.7900000000000011</v>
      </c>
      <c r="I21" s="179">
        <f t="shared" si="3"/>
        <v>3</v>
      </c>
      <c r="J21" s="180" t="str">
        <f t="shared" si="4"/>
        <v/>
      </c>
      <c r="K21" s="181"/>
      <c r="L21" s="174" t="str">
        <f t="shared" si="5"/>
        <v>REF D TINT 6MM</v>
      </c>
      <c r="M21" s="190"/>
      <c r="N21" s="191" t="str">
        <f t="shared" si="6"/>
        <v/>
      </c>
      <c r="O21" s="104"/>
      <c r="P21" s="192" t="str">
        <f t="shared" si="7"/>
        <v>AIR 6MM</v>
      </c>
      <c r="Q21" s="189"/>
      <c r="R21" s="186" t="str">
        <f t="shared" si="8"/>
        <v/>
      </c>
      <c r="S21" s="181"/>
      <c r="T21" s="174" t="str">
        <f t="shared" si="9"/>
        <v>CLEAR 6MM</v>
      </c>
      <c r="U21" s="190"/>
      <c r="V21" s="191" t="str">
        <f t="shared" si="10"/>
        <v/>
      </c>
      <c r="W21" s="104"/>
      <c r="X21" s="192" t="str">
        <f t="shared" si="11"/>
        <v/>
      </c>
      <c r="Y21" s="189"/>
      <c r="Z21" s="186" t="str">
        <f t="shared" si="12"/>
        <v/>
      </c>
      <c r="AA21" s="181"/>
      <c r="AB21" s="174" t="str">
        <f t="shared" si="13"/>
        <v/>
      </c>
      <c r="AC21" s="190"/>
      <c r="AD21" s="191" t="str">
        <f t="shared" si="14"/>
        <v/>
      </c>
      <c r="AE21" s="104"/>
      <c r="AF21" s="192" t="str">
        <f t="shared" si="15"/>
        <v/>
      </c>
      <c r="AG21" s="189"/>
      <c r="AH21" s="191" t="str">
        <f t="shared" si="16"/>
        <v/>
      </c>
      <c r="AI21" s="104"/>
      <c r="AJ21" s="192" t="str">
        <f t="shared" si="17"/>
        <v/>
      </c>
      <c r="AK21" s="189"/>
      <c r="AL21" s="193"/>
      <c r="AM21" s="125"/>
    </row>
    <row r="22" spans="1:39" ht="15">
      <c r="A22" s="9"/>
      <c r="B22" s="174">
        <f t="shared" si="18"/>
        <v>15</v>
      </c>
      <c r="C22" s="188" t="str">
        <f t="shared" si="19"/>
        <v>G15</v>
      </c>
      <c r="D22" s="175">
        <f t="shared" si="20"/>
        <v>135</v>
      </c>
      <c r="E22" s="174" t="str">
        <f t="shared" si="0"/>
        <v>Dbl LoE (e2=.2) Clr 6mm/13mm Air</v>
      </c>
      <c r="F22" s="189"/>
      <c r="G22" s="177">
        <f t="shared" si="1"/>
        <v>0.4901960784313722</v>
      </c>
      <c r="H22" s="178">
        <f t="shared" si="2"/>
        <v>1.8900000000000012</v>
      </c>
      <c r="I22" s="179">
        <f t="shared" si="3"/>
        <v>3</v>
      </c>
      <c r="J22" s="180" t="str">
        <f t="shared" si="4"/>
        <v/>
      </c>
      <c r="K22" s="181"/>
      <c r="L22" s="174" t="str">
        <f t="shared" si="5"/>
        <v>PYR B CLEAR 6MM</v>
      </c>
      <c r="M22" s="190"/>
      <c r="N22" s="191" t="str">
        <f t="shared" si="6"/>
        <v/>
      </c>
      <c r="O22" s="104"/>
      <c r="P22" s="192" t="str">
        <f t="shared" si="7"/>
        <v>AIR 13MM</v>
      </c>
      <c r="Q22" s="189"/>
      <c r="R22" s="186" t="str">
        <f t="shared" si="8"/>
        <v/>
      </c>
      <c r="S22" s="181"/>
      <c r="T22" s="174" t="str">
        <f t="shared" si="9"/>
        <v>CLEAR 6MM</v>
      </c>
      <c r="U22" s="190"/>
      <c r="V22" s="191" t="str">
        <f t="shared" si="10"/>
        <v/>
      </c>
      <c r="W22" s="104"/>
      <c r="X22" s="192" t="str">
        <f t="shared" si="11"/>
        <v/>
      </c>
      <c r="Y22" s="189"/>
      <c r="Z22" s="186" t="str">
        <f t="shared" si="12"/>
        <v/>
      </c>
      <c r="AA22" s="181"/>
      <c r="AB22" s="174" t="str">
        <f t="shared" si="13"/>
        <v/>
      </c>
      <c r="AC22" s="190"/>
      <c r="AD22" s="191" t="str">
        <f t="shared" si="14"/>
        <v/>
      </c>
      <c r="AE22" s="104"/>
      <c r="AF22" s="192" t="str">
        <f t="shared" si="15"/>
        <v/>
      </c>
      <c r="AG22" s="189"/>
      <c r="AH22" s="191" t="str">
        <f t="shared" si="16"/>
        <v/>
      </c>
      <c r="AI22" s="104"/>
      <c r="AJ22" s="192" t="str">
        <f t="shared" si="17"/>
        <v/>
      </c>
      <c r="AK22" s="189"/>
      <c r="AL22" s="193"/>
      <c r="AM22" s="125"/>
    </row>
    <row r="23" spans="1:39" ht="15">
      <c r="A23" s="9"/>
      <c r="B23" s="174">
        <f t="shared" si="18"/>
        <v>16</v>
      </c>
      <c r="C23" s="188" t="str">
        <f t="shared" si="19"/>
        <v>G16</v>
      </c>
      <c r="D23" s="175">
        <f t="shared" si="20"/>
        <v>145</v>
      </c>
      <c r="E23" s="174" t="str">
        <f t="shared" si="0"/>
        <v>Dbl LoE (e2=.1) Tint 6mm/13mm Arg</v>
      </c>
      <c r="F23" s="189"/>
      <c r="G23" s="177">
        <f t="shared" si="1"/>
        <v>0.46728971962616789</v>
      </c>
      <c r="H23" s="178">
        <f t="shared" si="2"/>
        <v>1.9900000000000013</v>
      </c>
      <c r="I23" s="179">
        <f t="shared" si="3"/>
        <v>3</v>
      </c>
      <c r="J23" s="180" t="str">
        <f t="shared" si="4"/>
        <v/>
      </c>
      <c r="K23" s="181"/>
      <c r="L23" s="174" t="str">
        <f t="shared" si="5"/>
        <v>LoE TINT 6MM</v>
      </c>
      <c r="M23" s="190"/>
      <c r="N23" s="191" t="str">
        <f t="shared" si="6"/>
        <v/>
      </c>
      <c r="O23" s="104"/>
      <c r="P23" s="192" t="str">
        <f t="shared" si="7"/>
        <v>ARGON 13MM</v>
      </c>
      <c r="Q23" s="189"/>
      <c r="R23" s="186" t="str">
        <f t="shared" si="8"/>
        <v/>
      </c>
      <c r="S23" s="181"/>
      <c r="T23" s="174" t="str">
        <f t="shared" si="9"/>
        <v>CLEAR 6MM</v>
      </c>
      <c r="U23" s="190"/>
      <c r="V23" s="191" t="str">
        <f t="shared" si="10"/>
        <v/>
      </c>
      <c r="W23" s="104"/>
      <c r="X23" s="192" t="str">
        <f t="shared" si="11"/>
        <v/>
      </c>
      <c r="Y23" s="189"/>
      <c r="Z23" s="186" t="str">
        <f t="shared" si="12"/>
        <v/>
      </c>
      <c r="AA23" s="181"/>
      <c r="AB23" s="174" t="str">
        <f t="shared" si="13"/>
        <v/>
      </c>
      <c r="AC23" s="190"/>
      <c r="AD23" s="191" t="str">
        <f t="shared" si="14"/>
        <v/>
      </c>
      <c r="AE23" s="104"/>
      <c r="AF23" s="192" t="str">
        <f t="shared" si="15"/>
        <v/>
      </c>
      <c r="AG23" s="189"/>
      <c r="AH23" s="191" t="str">
        <f t="shared" si="16"/>
        <v/>
      </c>
      <c r="AI23" s="104"/>
      <c r="AJ23" s="192" t="str">
        <f t="shared" si="17"/>
        <v/>
      </c>
      <c r="AK23" s="189"/>
      <c r="AL23" s="193"/>
      <c r="AM23" s="125"/>
    </row>
    <row r="24" spans="1:39" ht="15">
      <c r="A24" s="9"/>
      <c r="B24" s="174">
        <f t="shared" si="18"/>
        <v>17</v>
      </c>
      <c r="C24" s="188" t="str">
        <f t="shared" si="19"/>
        <v>G17</v>
      </c>
      <c r="D24" s="175">
        <f t="shared" si="20"/>
        <v>155</v>
      </c>
      <c r="E24" s="174" t="str">
        <f t="shared" si="0"/>
        <v>Dbl LoE Spec Sel Tint 6mm/6mm Air</v>
      </c>
      <c r="F24" s="189"/>
      <c r="G24" s="177">
        <f t="shared" si="1"/>
        <v>0.44642857142857156</v>
      </c>
      <c r="H24" s="178">
        <f t="shared" si="2"/>
        <v>2.0899999999999994</v>
      </c>
      <c r="I24" s="179">
        <f t="shared" si="3"/>
        <v>3</v>
      </c>
      <c r="J24" s="180" t="str">
        <f t="shared" si="4"/>
        <v/>
      </c>
      <c r="K24" s="181"/>
      <c r="L24" s="174" t="str">
        <f t="shared" si="5"/>
        <v>LoE SPEC SEL TINT 6MM</v>
      </c>
      <c r="M24" s="190"/>
      <c r="N24" s="191" t="str">
        <f t="shared" si="6"/>
        <v/>
      </c>
      <c r="O24" s="104"/>
      <c r="P24" s="192" t="str">
        <f t="shared" si="7"/>
        <v>AIR 6MM</v>
      </c>
      <c r="Q24" s="189"/>
      <c r="R24" s="186" t="str">
        <f t="shared" si="8"/>
        <v/>
      </c>
      <c r="S24" s="181"/>
      <c r="T24" s="174" t="str">
        <f t="shared" si="9"/>
        <v>CLEAR 6MM</v>
      </c>
      <c r="U24" s="190"/>
      <c r="V24" s="191" t="str">
        <f t="shared" si="10"/>
        <v/>
      </c>
      <c r="W24" s="104"/>
      <c r="X24" s="192" t="str">
        <f t="shared" si="11"/>
        <v/>
      </c>
      <c r="Y24" s="189"/>
      <c r="Z24" s="186" t="str">
        <f t="shared" si="12"/>
        <v/>
      </c>
      <c r="AA24" s="181"/>
      <c r="AB24" s="174" t="str">
        <f t="shared" si="13"/>
        <v/>
      </c>
      <c r="AC24" s="190"/>
      <c r="AD24" s="191" t="str">
        <f t="shared" si="14"/>
        <v/>
      </c>
      <c r="AE24" s="104"/>
      <c r="AF24" s="192" t="str">
        <f t="shared" si="15"/>
        <v/>
      </c>
      <c r="AG24" s="189"/>
      <c r="AH24" s="191" t="str">
        <f t="shared" si="16"/>
        <v/>
      </c>
      <c r="AI24" s="104"/>
      <c r="AJ24" s="192" t="str">
        <f t="shared" si="17"/>
        <v/>
      </c>
      <c r="AK24" s="189"/>
      <c r="AL24" s="193"/>
      <c r="AM24" s="125"/>
    </row>
    <row r="25" spans="1:39" ht="15">
      <c r="A25" s="9"/>
      <c r="B25" s="174">
        <f t="shared" si="18"/>
        <v>18</v>
      </c>
      <c r="C25" s="188" t="str">
        <f t="shared" si="19"/>
        <v>G18</v>
      </c>
      <c r="D25" s="175">
        <f t="shared" si="20"/>
        <v>165</v>
      </c>
      <c r="E25" s="174" t="str">
        <f t="shared" si="0"/>
        <v>Dbl Elec Ref Colored 6mm/6mm Air</v>
      </c>
      <c r="F25" s="189"/>
      <c r="G25" s="177">
        <f t="shared" si="1"/>
        <v>0.42735042735042789</v>
      </c>
      <c r="H25" s="178">
        <f t="shared" si="2"/>
        <v>2.1899999999999973</v>
      </c>
      <c r="I25" s="179">
        <f t="shared" si="3"/>
        <v>3</v>
      </c>
      <c r="J25" s="180" t="str">
        <f t="shared" si="4"/>
        <v/>
      </c>
      <c r="K25" s="181"/>
      <c r="L25" s="174" t="str">
        <f t="shared" si="5"/>
        <v>ECREF-2 COLORED 6MM</v>
      </c>
      <c r="M25" s="190"/>
      <c r="N25" s="191" t="str">
        <f t="shared" si="6"/>
        <v/>
      </c>
      <c r="O25" s="104"/>
      <c r="P25" s="192" t="str">
        <f t="shared" si="7"/>
        <v>AIR 6MM</v>
      </c>
      <c r="Q25" s="189"/>
      <c r="R25" s="186" t="str">
        <f t="shared" si="8"/>
        <v/>
      </c>
      <c r="S25" s="181"/>
      <c r="T25" s="174" t="str">
        <f t="shared" si="9"/>
        <v>CLEAR 6MM</v>
      </c>
      <c r="U25" s="190"/>
      <c r="V25" s="191" t="str">
        <f t="shared" si="10"/>
        <v/>
      </c>
      <c r="W25" s="104"/>
      <c r="X25" s="192" t="str">
        <f t="shared" si="11"/>
        <v/>
      </c>
      <c r="Y25" s="189"/>
      <c r="Z25" s="186" t="str">
        <f t="shared" si="12"/>
        <v/>
      </c>
      <c r="AA25" s="181"/>
      <c r="AB25" s="174" t="str">
        <f t="shared" si="13"/>
        <v/>
      </c>
      <c r="AC25" s="190"/>
      <c r="AD25" s="191" t="str">
        <f t="shared" si="14"/>
        <v/>
      </c>
      <c r="AE25" s="104"/>
      <c r="AF25" s="192" t="str">
        <f t="shared" si="15"/>
        <v/>
      </c>
      <c r="AG25" s="189"/>
      <c r="AH25" s="191" t="str">
        <f t="shared" si="16"/>
        <v/>
      </c>
      <c r="AI25" s="104"/>
      <c r="AJ25" s="192" t="str">
        <f t="shared" si="17"/>
        <v/>
      </c>
      <c r="AK25" s="189"/>
      <c r="AL25" s="193"/>
      <c r="AM25" s="125"/>
    </row>
    <row r="26" spans="1:39" ht="24">
      <c r="A26" s="9"/>
      <c r="B26" s="174">
        <f t="shared" si="18"/>
        <v>19</v>
      </c>
      <c r="C26" s="188" t="str">
        <f t="shared" si="19"/>
        <v>G19</v>
      </c>
      <c r="D26" s="175">
        <f t="shared" si="20"/>
        <v>175</v>
      </c>
      <c r="E26" s="174" t="str">
        <f t="shared" si="0"/>
        <v>Dbl LoE Elec Abs Colored 6mm/13mm Arg</v>
      </c>
      <c r="F26" s="189"/>
      <c r="G26" s="177">
        <f t="shared" si="1"/>
        <v>0.40983606557377134</v>
      </c>
      <c r="H26" s="178">
        <f t="shared" si="2"/>
        <v>2.2899999999999952</v>
      </c>
      <c r="I26" s="179">
        <f t="shared" si="3"/>
        <v>3</v>
      </c>
      <c r="J26" s="180" t="str">
        <f t="shared" si="4"/>
        <v/>
      </c>
      <c r="K26" s="181"/>
      <c r="L26" s="174" t="str">
        <f t="shared" si="5"/>
        <v>ECABS-2 COLORED 6MM</v>
      </c>
      <c r="M26" s="190"/>
      <c r="N26" s="191" t="str">
        <f t="shared" si="6"/>
        <v/>
      </c>
      <c r="O26" s="104"/>
      <c r="P26" s="192" t="str">
        <f t="shared" si="7"/>
        <v>ARGON 13MM</v>
      </c>
      <c r="Q26" s="189"/>
      <c r="R26" s="186" t="str">
        <f t="shared" si="8"/>
        <v/>
      </c>
      <c r="S26" s="181"/>
      <c r="T26" s="174" t="str">
        <f t="shared" si="9"/>
        <v>LoE SPEC SEL CLEAR 6MM Rev</v>
      </c>
      <c r="U26" s="190"/>
      <c r="V26" s="191" t="str">
        <f t="shared" si="10"/>
        <v/>
      </c>
      <c r="W26" s="104"/>
      <c r="X26" s="192" t="str">
        <f t="shared" si="11"/>
        <v/>
      </c>
      <c r="Y26" s="189"/>
      <c r="Z26" s="186" t="str">
        <f t="shared" si="12"/>
        <v/>
      </c>
      <c r="AA26" s="181"/>
      <c r="AB26" s="174" t="str">
        <f t="shared" si="13"/>
        <v/>
      </c>
      <c r="AC26" s="190"/>
      <c r="AD26" s="191" t="str">
        <f t="shared" si="14"/>
        <v/>
      </c>
      <c r="AE26" s="104"/>
      <c r="AF26" s="192" t="str">
        <f t="shared" si="15"/>
        <v/>
      </c>
      <c r="AG26" s="189"/>
      <c r="AH26" s="191" t="str">
        <f t="shared" si="16"/>
        <v/>
      </c>
      <c r="AI26" s="104"/>
      <c r="AJ26" s="192" t="str">
        <f t="shared" si="17"/>
        <v/>
      </c>
      <c r="AK26" s="189"/>
      <c r="AL26" s="193"/>
      <c r="AM26" s="125"/>
    </row>
    <row r="27" spans="1:39" ht="15">
      <c r="A27" s="9"/>
      <c r="B27" s="174">
        <f t="shared" si="18"/>
        <v>20</v>
      </c>
      <c r="C27" s="188" t="str">
        <f t="shared" si="19"/>
        <v>G20</v>
      </c>
      <c r="D27" s="175">
        <f t="shared" si="20"/>
        <v>185</v>
      </c>
      <c r="E27" s="174" t="str">
        <f t="shared" si="0"/>
        <v>Trp LoE (e5=.1) Clr 3mm/6mm Air</v>
      </c>
      <c r="F27" s="189"/>
      <c r="G27" s="177">
        <f t="shared" si="1"/>
        <v>0.39370078740157588</v>
      </c>
      <c r="H27" s="178">
        <f t="shared" si="2"/>
        <v>2.389999999999993</v>
      </c>
      <c r="I27" s="179">
        <f t="shared" si="3"/>
        <v>5</v>
      </c>
      <c r="J27" s="180" t="str">
        <f t="shared" si="4"/>
        <v/>
      </c>
      <c r="K27" s="181"/>
      <c r="L27" s="174" t="str">
        <f t="shared" si="5"/>
        <v>CLEAR 3MM</v>
      </c>
      <c r="M27" s="190"/>
      <c r="N27" s="191" t="str">
        <f t="shared" si="6"/>
        <v/>
      </c>
      <c r="O27" s="104"/>
      <c r="P27" s="192" t="str">
        <f t="shared" si="7"/>
        <v>AIR 6MM</v>
      </c>
      <c r="Q27" s="189"/>
      <c r="R27" s="186" t="str">
        <f t="shared" si="8"/>
        <v/>
      </c>
      <c r="S27" s="181"/>
      <c r="T27" s="174" t="str">
        <f t="shared" si="9"/>
        <v>CLEAR 3MM</v>
      </c>
      <c r="U27" s="190"/>
      <c r="V27" s="191" t="str">
        <f t="shared" si="10"/>
        <v/>
      </c>
      <c r="W27" s="104"/>
      <c r="X27" s="192" t="str">
        <f t="shared" si="11"/>
        <v>AIR 6MM</v>
      </c>
      <c r="Y27" s="189"/>
      <c r="Z27" s="186" t="str">
        <f t="shared" si="12"/>
        <v/>
      </c>
      <c r="AA27" s="181"/>
      <c r="AB27" s="174" t="str">
        <f t="shared" si="13"/>
        <v>LoE CLEAR 3MM Rev</v>
      </c>
      <c r="AC27" s="190"/>
      <c r="AD27" s="191" t="str">
        <f t="shared" si="14"/>
        <v/>
      </c>
      <c r="AE27" s="104"/>
      <c r="AF27" s="192" t="str">
        <f t="shared" si="15"/>
        <v/>
      </c>
      <c r="AG27" s="189"/>
      <c r="AH27" s="191" t="str">
        <f t="shared" si="16"/>
        <v/>
      </c>
      <c r="AI27" s="104"/>
      <c r="AJ27" s="192" t="str">
        <f t="shared" si="17"/>
        <v/>
      </c>
      <c r="AK27" s="189"/>
      <c r="AL27" s="193"/>
      <c r="AM27" s="125"/>
    </row>
    <row r="28" spans="1:39" ht="15">
      <c r="A28" s="9"/>
      <c r="B28" s="174">
        <f t="shared" si="18"/>
        <v>21</v>
      </c>
      <c r="C28" s="188" t="str">
        <f t="shared" si="19"/>
        <v>G21</v>
      </c>
      <c r="D28" s="175">
        <f t="shared" si="20"/>
        <v>195</v>
      </c>
      <c r="E28" s="174" t="str">
        <f t="shared" si="0"/>
        <v>Trp LoE Film (66) Clr 6mm/6mm Air</v>
      </c>
      <c r="F28" s="189"/>
      <c r="G28" s="177">
        <f t="shared" si="1"/>
        <v>0.37878787878788012</v>
      </c>
      <c r="H28" s="178">
        <f t="shared" si="2"/>
        <v>2.4899999999999909</v>
      </c>
      <c r="I28" s="179">
        <f t="shared" si="3"/>
        <v>5</v>
      </c>
      <c r="J28" s="180" t="str">
        <f t="shared" si="4"/>
        <v/>
      </c>
      <c r="K28" s="181"/>
      <c r="L28" s="174" t="str">
        <f t="shared" si="5"/>
        <v>CLEAR 6MM</v>
      </c>
      <c r="M28" s="190"/>
      <c r="N28" s="191" t="str">
        <f t="shared" si="6"/>
        <v/>
      </c>
      <c r="O28" s="104"/>
      <c r="P28" s="192" t="str">
        <f t="shared" si="7"/>
        <v>AIR 6MM</v>
      </c>
      <c r="Q28" s="189"/>
      <c r="R28" s="186" t="str">
        <f t="shared" si="8"/>
        <v/>
      </c>
      <c r="S28" s="181"/>
      <c r="T28" s="174" t="str">
        <f t="shared" si="9"/>
        <v>COATED POLY-66</v>
      </c>
      <c r="U28" s="190"/>
      <c r="V28" s="191" t="str">
        <f t="shared" si="10"/>
        <v/>
      </c>
      <c r="W28" s="104"/>
      <c r="X28" s="192" t="str">
        <f t="shared" si="11"/>
        <v>AIR 6MM</v>
      </c>
      <c r="Y28" s="189"/>
      <c r="Z28" s="186" t="str">
        <f t="shared" si="12"/>
        <v/>
      </c>
      <c r="AA28" s="181"/>
      <c r="AB28" s="174" t="str">
        <f t="shared" si="13"/>
        <v>CLEAR 6MM</v>
      </c>
      <c r="AC28" s="190"/>
      <c r="AD28" s="191" t="str">
        <f t="shared" si="14"/>
        <v/>
      </c>
      <c r="AE28" s="104"/>
      <c r="AF28" s="192" t="str">
        <f t="shared" si="15"/>
        <v/>
      </c>
      <c r="AG28" s="189"/>
      <c r="AH28" s="191" t="str">
        <f t="shared" si="16"/>
        <v/>
      </c>
      <c r="AI28" s="104"/>
      <c r="AJ28" s="192" t="str">
        <f t="shared" si="17"/>
        <v/>
      </c>
      <c r="AK28" s="189"/>
      <c r="AL28" s="193"/>
      <c r="AM28" s="125"/>
    </row>
    <row r="29" spans="1:39" ht="24">
      <c r="A29" s="9"/>
      <c r="B29" s="174">
        <f t="shared" si="18"/>
        <v>22</v>
      </c>
      <c r="C29" s="188" t="str">
        <f t="shared" si="19"/>
        <v>G22</v>
      </c>
      <c r="D29" s="175">
        <f t="shared" si="20"/>
        <v>205</v>
      </c>
      <c r="E29" s="174" t="str">
        <f t="shared" si="0"/>
        <v>Trp LoE Film (33) Bronze 6mm/6mm Air</v>
      </c>
      <c r="F29" s="189"/>
      <c r="G29" s="177">
        <f t="shared" si="1"/>
        <v>0.36496350364963653</v>
      </c>
      <c r="H29" s="178">
        <f t="shared" si="2"/>
        <v>2.5899999999999888</v>
      </c>
      <c r="I29" s="179">
        <f t="shared" si="3"/>
        <v>5</v>
      </c>
      <c r="J29" s="180" t="str">
        <f t="shared" si="4"/>
        <v/>
      </c>
      <c r="K29" s="181"/>
      <c r="L29" s="174" t="str">
        <f t="shared" si="5"/>
        <v>BRONZE 6MM</v>
      </c>
      <c r="M29" s="190"/>
      <c r="N29" s="191" t="str">
        <f t="shared" si="6"/>
        <v/>
      </c>
      <c r="O29" s="104"/>
      <c r="P29" s="192" t="str">
        <f t="shared" si="7"/>
        <v>AIR 6MM</v>
      </c>
      <c r="Q29" s="189"/>
      <c r="R29" s="186" t="str">
        <f t="shared" si="8"/>
        <v/>
      </c>
      <c r="S29" s="181"/>
      <c r="T29" s="174" t="str">
        <f t="shared" si="9"/>
        <v>COATED POLY-33</v>
      </c>
      <c r="U29" s="190"/>
      <c r="V29" s="191" t="str">
        <f t="shared" si="10"/>
        <v/>
      </c>
      <c r="W29" s="104"/>
      <c r="X29" s="192" t="str">
        <f t="shared" si="11"/>
        <v>AIR 6MM</v>
      </c>
      <c r="Y29" s="189"/>
      <c r="Z29" s="186" t="str">
        <f t="shared" si="12"/>
        <v/>
      </c>
      <c r="AA29" s="181"/>
      <c r="AB29" s="174" t="str">
        <f t="shared" si="13"/>
        <v>CLEAR 6MM</v>
      </c>
      <c r="AC29" s="190"/>
      <c r="AD29" s="191" t="str">
        <f t="shared" si="14"/>
        <v/>
      </c>
      <c r="AE29" s="104"/>
      <c r="AF29" s="192" t="str">
        <f t="shared" si="15"/>
        <v/>
      </c>
      <c r="AG29" s="189"/>
      <c r="AH29" s="191" t="str">
        <f t="shared" si="16"/>
        <v/>
      </c>
      <c r="AI29" s="104"/>
      <c r="AJ29" s="192" t="str">
        <f t="shared" si="17"/>
        <v/>
      </c>
      <c r="AK29" s="189"/>
      <c r="AL29" s="193"/>
      <c r="AM29" s="125"/>
    </row>
    <row r="30" spans="1:39" ht="24">
      <c r="A30" s="9"/>
      <c r="B30" s="174">
        <f t="shared" si="18"/>
        <v>23</v>
      </c>
      <c r="C30" s="188" t="str">
        <f t="shared" si="19"/>
        <v>G23</v>
      </c>
      <c r="D30" s="175">
        <v>207</v>
      </c>
      <c r="E30" s="174" t="str">
        <f t="shared" si="0"/>
        <v>Quadruple LoE Films (88) 3mm/8mm Krypton</v>
      </c>
      <c r="F30" s="189"/>
      <c r="G30" s="177">
        <f t="shared" si="1"/>
        <v>0.31746031746031744</v>
      </c>
      <c r="H30" s="178">
        <f t="shared" si="2"/>
        <v>3</v>
      </c>
      <c r="I30" s="179">
        <f t="shared" si="3"/>
        <v>7</v>
      </c>
      <c r="J30" s="180" t="str">
        <f t="shared" si="4"/>
        <v/>
      </c>
      <c r="K30" s="181"/>
      <c r="L30" s="174" t="str">
        <f t="shared" si="5"/>
        <v>CLEAR 3MM</v>
      </c>
      <c r="M30" s="190"/>
      <c r="N30" s="191" t="str">
        <f t="shared" si="6"/>
        <v/>
      </c>
      <c r="O30" s="104"/>
      <c r="P30" s="192" t="str">
        <f t="shared" si="7"/>
        <v>KRYPTON 8MM</v>
      </c>
      <c r="Q30" s="189"/>
      <c r="R30" s="186" t="str">
        <f t="shared" si="8"/>
        <v/>
      </c>
      <c r="S30" s="181"/>
      <c r="T30" s="174" t="str">
        <f t="shared" si="9"/>
        <v>COATED POLY-88</v>
      </c>
      <c r="U30" s="190"/>
      <c r="V30" s="191" t="str">
        <f t="shared" si="10"/>
        <v/>
      </c>
      <c r="W30" s="104"/>
      <c r="X30" s="192" t="str">
        <f t="shared" si="11"/>
        <v>KRYPTON 3MM</v>
      </c>
      <c r="Y30" s="189"/>
      <c r="Z30" s="186" t="str">
        <f t="shared" si="12"/>
        <v/>
      </c>
      <c r="AA30" s="181"/>
      <c r="AB30" s="174" t="str">
        <f t="shared" si="13"/>
        <v>COATED POLY-88</v>
      </c>
      <c r="AC30" s="190"/>
      <c r="AD30" s="191" t="str">
        <f t="shared" si="14"/>
        <v/>
      </c>
      <c r="AE30" s="104"/>
      <c r="AF30" s="192" t="str">
        <f t="shared" si="15"/>
        <v>KRYPTON 8MM</v>
      </c>
      <c r="AG30" s="189"/>
      <c r="AH30" s="191" t="str">
        <f t="shared" si="16"/>
        <v/>
      </c>
      <c r="AI30" s="104"/>
      <c r="AJ30" s="192" t="str">
        <f t="shared" si="17"/>
        <v>CLEAR 3MM</v>
      </c>
      <c r="AK30" s="189"/>
      <c r="AL30" s="193"/>
      <c r="AM30" s="125"/>
    </row>
    <row r="31" spans="1:39" ht="15">
      <c r="A31" s="9"/>
      <c r="B31" s="174">
        <f t="shared" si="18"/>
        <v>24</v>
      </c>
      <c r="C31" s="188" t="str">
        <f t="shared" si="19"/>
        <v>G24</v>
      </c>
      <c r="D31" s="175"/>
      <c r="E31" s="174" t="str">
        <f t="shared" si="0"/>
        <v/>
      </c>
      <c r="F31" s="189"/>
      <c r="G31" s="177">
        <f t="shared" si="1"/>
        <v>6.666666666666667</v>
      </c>
      <c r="H31" s="178">
        <f t="shared" si="2"/>
        <v>0</v>
      </c>
      <c r="I31" s="179">
        <f t="shared" si="3"/>
        <v>3</v>
      </c>
      <c r="J31" s="180" t="str">
        <f t="shared" si="4"/>
        <v xml:space="preserve">   #→</v>
      </c>
      <c r="K31" s="181">
        <v>1</v>
      </c>
      <c r="L31" s="174" t="str">
        <f t="shared" si="5"/>
        <v>AIR 3MM</v>
      </c>
      <c r="M31" s="190"/>
      <c r="N31" s="191" t="str">
        <f t="shared" si="6"/>
        <v xml:space="preserve">   No:</v>
      </c>
      <c r="O31" s="104">
        <v>5</v>
      </c>
      <c r="P31" s="192" t="str">
        <f t="shared" si="7"/>
        <v>ARGON 3MM</v>
      </c>
      <c r="Q31" s="189"/>
      <c r="R31" s="186" t="str">
        <f t="shared" si="8"/>
        <v xml:space="preserve">   No:</v>
      </c>
      <c r="S31" s="181">
        <v>9</v>
      </c>
      <c r="T31" s="174" t="str">
        <f t="shared" si="9"/>
        <v>KRYPTON 3MM</v>
      </c>
      <c r="U31" s="190"/>
      <c r="V31" s="191" t="str">
        <f t="shared" si="10"/>
        <v xml:space="preserve">   No:</v>
      </c>
      <c r="W31" s="104"/>
      <c r="X31" s="192" t="str">
        <f t="shared" si="11"/>
        <v/>
      </c>
      <c r="Y31" s="189"/>
      <c r="Z31" s="186" t="str">
        <f t="shared" si="12"/>
        <v xml:space="preserve">   No:</v>
      </c>
      <c r="AA31" s="181"/>
      <c r="AB31" s="174" t="str">
        <f t="shared" si="13"/>
        <v/>
      </c>
      <c r="AC31" s="190"/>
      <c r="AD31" s="191" t="str">
        <f t="shared" si="14"/>
        <v xml:space="preserve">   No:</v>
      </c>
      <c r="AE31" s="104"/>
      <c r="AF31" s="192" t="str">
        <f t="shared" si="15"/>
        <v/>
      </c>
      <c r="AG31" s="189"/>
      <c r="AH31" s="191" t="str">
        <f t="shared" si="16"/>
        <v xml:space="preserve">   No:</v>
      </c>
      <c r="AI31" s="104"/>
      <c r="AJ31" s="192" t="str">
        <f t="shared" si="17"/>
        <v/>
      </c>
      <c r="AK31" s="189"/>
      <c r="AL31" s="193"/>
      <c r="AM31" s="125"/>
    </row>
    <row r="32" spans="1:39" ht="24">
      <c r="A32" s="9"/>
      <c r="B32" s="174">
        <f t="shared" si="18"/>
        <v>25</v>
      </c>
      <c r="C32" s="188" t="str">
        <f t="shared" si="19"/>
        <v>G25</v>
      </c>
      <c r="D32" s="175">
        <v>207</v>
      </c>
      <c r="E32" s="174" t="str">
        <f t="shared" si="0"/>
        <v>Quadruple LoE Films (88) 3mm/8mm Krypton</v>
      </c>
      <c r="F32" s="189"/>
      <c r="G32" s="177">
        <f t="shared" si="1"/>
        <v>0.31746031746031744</v>
      </c>
      <c r="H32" s="178">
        <f t="shared" si="2"/>
        <v>3</v>
      </c>
      <c r="I32" s="179">
        <f t="shared" si="3"/>
        <v>7</v>
      </c>
      <c r="J32" s="180" t="str">
        <f t="shared" si="4"/>
        <v/>
      </c>
      <c r="K32" s="181"/>
      <c r="L32" s="174" t="str">
        <f t="shared" si="5"/>
        <v>CLEAR 3MM</v>
      </c>
      <c r="M32" s="190"/>
      <c r="N32" s="191" t="str">
        <f t="shared" si="6"/>
        <v/>
      </c>
      <c r="O32" s="104"/>
      <c r="P32" s="192" t="str">
        <f t="shared" si="7"/>
        <v>KRYPTON 8MM</v>
      </c>
      <c r="Q32" s="189"/>
      <c r="R32" s="186" t="str">
        <f t="shared" si="8"/>
        <v/>
      </c>
      <c r="S32" s="181"/>
      <c r="T32" s="174" t="str">
        <f t="shared" si="9"/>
        <v>COATED POLY-88</v>
      </c>
      <c r="U32" s="190"/>
      <c r="V32" s="191" t="str">
        <f t="shared" si="10"/>
        <v/>
      </c>
      <c r="W32" s="104"/>
      <c r="X32" s="192" t="str">
        <f t="shared" si="11"/>
        <v>KRYPTON 3MM</v>
      </c>
      <c r="Y32" s="189"/>
      <c r="Z32" s="186" t="str">
        <f t="shared" si="12"/>
        <v/>
      </c>
      <c r="AA32" s="181"/>
      <c r="AB32" s="174" t="str">
        <f t="shared" si="13"/>
        <v>COATED POLY-88</v>
      </c>
      <c r="AC32" s="190"/>
      <c r="AD32" s="191" t="str">
        <f t="shared" si="14"/>
        <v/>
      </c>
      <c r="AE32" s="104"/>
      <c r="AF32" s="192" t="str">
        <f t="shared" si="15"/>
        <v>KRYPTON 8MM</v>
      </c>
      <c r="AG32" s="189"/>
      <c r="AH32" s="191" t="str">
        <f t="shared" si="16"/>
        <v/>
      </c>
      <c r="AI32" s="104"/>
      <c r="AJ32" s="192" t="str">
        <f t="shared" si="17"/>
        <v>CLEAR 3MM</v>
      </c>
      <c r="AK32" s="189"/>
      <c r="AL32" s="193"/>
      <c r="AM32" s="125"/>
    </row>
    <row r="33" spans="1:39" ht="24">
      <c r="A33" s="9"/>
      <c r="B33" s="174">
        <f t="shared" si="18"/>
        <v>26</v>
      </c>
      <c r="C33" s="188" t="str">
        <f t="shared" si="19"/>
        <v>G26</v>
      </c>
      <c r="D33" s="175">
        <v>207</v>
      </c>
      <c r="E33" s="174" t="str">
        <f t="shared" si="0"/>
        <v>Quadruple LoE Films (88) 3mm/8mm Krypton</v>
      </c>
      <c r="F33" s="189"/>
      <c r="G33" s="177">
        <f t="shared" si="1"/>
        <v>0.31746031746031744</v>
      </c>
      <c r="H33" s="178">
        <f t="shared" si="2"/>
        <v>3</v>
      </c>
      <c r="I33" s="179">
        <f t="shared" si="3"/>
        <v>7</v>
      </c>
      <c r="J33" s="180" t="str">
        <f t="shared" si="4"/>
        <v/>
      </c>
      <c r="K33" s="181"/>
      <c r="L33" s="174" t="str">
        <f t="shared" si="5"/>
        <v>CLEAR 3MM</v>
      </c>
      <c r="M33" s="190"/>
      <c r="N33" s="191" t="str">
        <f t="shared" si="6"/>
        <v/>
      </c>
      <c r="O33" s="104"/>
      <c r="P33" s="192" t="str">
        <f t="shared" si="7"/>
        <v>KRYPTON 8MM</v>
      </c>
      <c r="Q33" s="189"/>
      <c r="R33" s="186" t="str">
        <f t="shared" si="8"/>
        <v/>
      </c>
      <c r="S33" s="181"/>
      <c r="T33" s="174" t="str">
        <f t="shared" si="9"/>
        <v>COATED POLY-88</v>
      </c>
      <c r="U33" s="190"/>
      <c r="V33" s="191" t="str">
        <f t="shared" si="10"/>
        <v/>
      </c>
      <c r="W33" s="104"/>
      <c r="X33" s="192" t="str">
        <f t="shared" si="11"/>
        <v>KRYPTON 3MM</v>
      </c>
      <c r="Y33" s="189"/>
      <c r="Z33" s="186" t="str">
        <f t="shared" si="12"/>
        <v/>
      </c>
      <c r="AA33" s="181"/>
      <c r="AB33" s="174" t="str">
        <f t="shared" si="13"/>
        <v>COATED POLY-88</v>
      </c>
      <c r="AC33" s="190"/>
      <c r="AD33" s="191" t="str">
        <f t="shared" si="14"/>
        <v/>
      </c>
      <c r="AE33" s="104"/>
      <c r="AF33" s="192" t="str">
        <f t="shared" si="15"/>
        <v>KRYPTON 8MM</v>
      </c>
      <c r="AG33" s="189"/>
      <c r="AH33" s="191" t="str">
        <f t="shared" si="16"/>
        <v/>
      </c>
      <c r="AI33" s="104"/>
      <c r="AJ33" s="192" t="str">
        <f t="shared" si="17"/>
        <v>CLEAR 3MM</v>
      </c>
      <c r="AK33" s="189"/>
      <c r="AL33" s="193"/>
      <c r="AM33" s="125"/>
    </row>
    <row r="34" spans="1:39" ht="24">
      <c r="A34" s="9"/>
      <c r="B34" s="174">
        <f t="shared" si="18"/>
        <v>27</v>
      </c>
      <c r="C34" s="188" t="str">
        <f t="shared" si="19"/>
        <v>G27</v>
      </c>
      <c r="D34" s="175">
        <v>207</v>
      </c>
      <c r="E34" s="174" t="str">
        <f t="shared" si="0"/>
        <v>Quadruple LoE Films (88) 3mm/8mm Krypton</v>
      </c>
      <c r="F34" s="189"/>
      <c r="G34" s="177">
        <f t="shared" si="1"/>
        <v>0.31746031746031744</v>
      </c>
      <c r="H34" s="178">
        <f t="shared" si="2"/>
        <v>3</v>
      </c>
      <c r="I34" s="179">
        <f t="shared" si="3"/>
        <v>7</v>
      </c>
      <c r="J34" s="180" t="str">
        <f t="shared" si="4"/>
        <v/>
      </c>
      <c r="K34" s="181"/>
      <c r="L34" s="174" t="str">
        <f t="shared" si="5"/>
        <v>CLEAR 3MM</v>
      </c>
      <c r="M34" s="190"/>
      <c r="N34" s="191" t="str">
        <f t="shared" si="6"/>
        <v/>
      </c>
      <c r="O34" s="104"/>
      <c r="P34" s="192" t="str">
        <f t="shared" si="7"/>
        <v>KRYPTON 8MM</v>
      </c>
      <c r="Q34" s="189"/>
      <c r="R34" s="186" t="str">
        <f t="shared" si="8"/>
        <v/>
      </c>
      <c r="S34" s="181"/>
      <c r="T34" s="174" t="str">
        <f t="shared" si="9"/>
        <v>COATED POLY-88</v>
      </c>
      <c r="U34" s="190"/>
      <c r="V34" s="191" t="str">
        <f t="shared" si="10"/>
        <v/>
      </c>
      <c r="W34" s="104"/>
      <c r="X34" s="192" t="str">
        <f t="shared" si="11"/>
        <v>KRYPTON 3MM</v>
      </c>
      <c r="Y34" s="189"/>
      <c r="Z34" s="186" t="str">
        <f t="shared" si="12"/>
        <v/>
      </c>
      <c r="AA34" s="181"/>
      <c r="AB34" s="174" t="str">
        <f t="shared" si="13"/>
        <v>COATED POLY-88</v>
      </c>
      <c r="AC34" s="190"/>
      <c r="AD34" s="191" t="str">
        <f t="shared" si="14"/>
        <v/>
      </c>
      <c r="AE34" s="104"/>
      <c r="AF34" s="192" t="str">
        <f t="shared" si="15"/>
        <v>KRYPTON 8MM</v>
      </c>
      <c r="AG34" s="189"/>
      <c r="AH34" s="191" t="str">
        <f t="shared" si="16"/>
        <v/>
      </c>
      <c r="AI34" s="104"/>
      <c r="AJ34" s="192" t="str">
        <f t="shared" si="17"/>
        <v>CLEAR 3MM</v>
      </c>
      <c r="AK34" s="189"/>
      <c r="AL34" s="193"/>
      <c r="AM34" s="125"/>
    </row>
    <row r="35" spans="1:39" ht="24">
      <c r="A35" s="9"/>
      <c r="B35" s="174">
        <f t="shared" si="18"/>
        <v>28</v>
      </c>
      <c r="C35" s="188" t="str">
        <f t="shared" si="19"/>
        <v>G28</v>
      </c>
      <c r="D35" s="175">
        <v>207</v>
      </c>
      <c r="E35" s="174" t="str">
        <f t="shared" si="0"/>
        <v>Quadruple LoE Films (88) 3mm/8mm Krypton</v>
      </c>
      <c r="F35" s="189"/>
      <c r="G35" s="177">
        <f t="shared" si="1"/>
        <v>0.31746031746031744</v>
      </c>
      <c r="H35" s="178">
        <f t="shared" si="2"/>
        <v>3</v>
      </c>
      <c r="I35" s="179">
        <f t="shared" si="3"/>
        <v>7</v>
      </c>
      <c r="J35" s="180" t="str">
        <f t="shared" si="4"/>
        <v/>
      </c>
      <c r="K35" s="181"/>
      <c r="L35" s="174" t="str">
        <f t="shared" si="5"/>
        <v>CLEAR 3MM</v>
      </c>
      <c r="M35" s="190"/>
      <c r="N35" s="191" t="str">
        <f t="shared" si="6"/>
        <v/>
      </c>
      <c r="O35" s="104"/>
      <c r="P35" s="192" t="str">
        <f t="shared" si="7"/>
        <v>KRYPTON 8MM</v>
      </c>
      <c r="Q35" s="189"/>
      <c r="R35" s="186" t="str">
        <f t="shared" si="8"/>
        <v/>
      </c>
      <c r="S35" s="181"/>
      <c r="T35" s="174" t="str">
        <f t="shared" si="9"/>
        <v>COATED POLY-88</v>
      </c>
      <c r="U35" s="190"/>
      <c r="V35" s="191" t="str">
        <f t="shared" si="10"/>
        <v/>
      </c>
      <c r="W35" s="104"/>
      <c r="X35" s="192" t="str">
        <f t="shared" si="11"/>
        <v>KRYPTON 3MM</v>
      </c>
      <c r="Y35" s="189"/>
      <c r="Z35" s="186" t="str">
        <f t="shared" si="12"/>
        <v/>
      </c>
      <c r="AA35" s="181"/>
      <c r="AB35" s="174" t="str">
        <f t="shared" si="13"/>
        <v>COATED POLY-88</v>
      </c>
      <c r="AC35" s="190"/>
      <c r="AD35" s="191" t="str">
        <f t="shared" si="14"/>
        <v/>
      </c>
      <c r="AE35" s="104"/>
      <c r="AF35" s="192" t="str">
        <f t="shared" si="15"/>
        <v>KRYPTON 8MM</v>
      </c>
      <c r="AG35" s="189"/>
      <c r="AH35" s="191" t="str">
        <f t="shared" si="16"/>
        <v/>
      </c>
      <c r="AI35" s="104"/>
      <c r="AJ35" s="192" t="str">
        <f t="shared" si="17"/>
        <v>CLEAR 3MM</v>
      </c>
      <c r="AK35" s="189"/>
      <c r="AL35" s="193"/>
      <c r="AM35" s="125"/>
    </row>
    <row r="36" spans="1:39" ht="24">
      <c r="A36" s="9"/>
      <c r="B36" s="174">
        <f t="shared" si="18"/>
        <v>29</v>
      </c>
      <c r="C36" s="188" t="str">
        <f t="shared" si="19"/>
        <v>G29</v>
      </c>
      <c r="D36" s="175">
        <v>207</v>
      </c>
      <c r="E36" s="174" t="str">
        <f t="shared" si="0"/>
        <v>Quadruple LoE Films (88) 3mm/8mm Krypton</v>
      </c>
      <c r="F36" s="189"/>
      <c r="G36" s="177">
        <f t="shared" si="1"/>
        <v>0.31746031746031744</v>
      </c>
      <c r="H36" s="178">
        <f t="shared" si="2"/>
        <v>3</v>
      </c>
      <c r="I36" s="179">
        <f t="shared" si="3"/>
        <v>7</v>
      </c>
      <c r="J36" s="180" t="str">
        <f t="shared" si="4"/>
        <v/>
      </c>
      <c r="K36" s="181"/>
      <c r="L36" s="174" t="str">
        <f t="shared" si="5"/>
        <v>CLEAR 3MM</v>
      </c>
      <c r="M36" s="190"/>
      <c r="N36" s="191" t="str">
        <f t="shared" si="6"/>
        <v/>
      </c>
      <c r="O36" s="104"/>
      <c r="P36" s="192" t="str">
        <f t="shared" si="7"/>
        <v>KRYPTON 8MM</v>
      </c>
      <c r="Q36" s="189"/>
      <c r="R36" s="186" t="str">
        <f t="shared" si="8"/>
        <v/>
      </c>
      <c r="S36" s="181"/>
      <c r="T36" s="174" t="str">
        <f t="shared" si="9"/>
        <v>COATED POLY-88</v>
      </c>
      <c r="U36" s="190"/>
      <c r="V36" s="191" t="str">
        <f t="shared" si="10"/>
        <v/>
      </c>
      <c r="W36" s="104"/>
      <c r="X36" s="192" t="str">
        <f t="shared" si="11"/>
        <v>KRYPTON 3MM</v>
      </c>
      <c r="Y36" s="189"/>
      <c r="Z36" s="186" t="str">
        <f t="shared" si="12"/>
        <v/>
      </c>
      <c r="AA36" s="181"/>
      <c r="AB36" s="174" t="str">
        <f t="shared" si="13"/>
        <v>COATED POLY-88</v>
      </c>
      <c r="AC36" s="190"/>
      <c r="AD36" s="191" t="str">
        <f t="shared" si="14"/>
        <v/>
      </c>
      <c r="AE36" s="104"/>
      <c r="AF36" s="192" t="str">
        <f t="shared" si="15"/>
        <v>KRYPTON 8MM</v>
      </c>
      <c r="AG36" s="189"/>
      <c r="AH36" s="191" t="str">
        <f t="shared" si="16"/>
        <v/>
      </c>
      <c r="AI36" s="104"/>
      <c r="AJ36" s="192" t="str">
        <f t="shared" si="17"/>
        <v>CLEAR 3MM</v>
      </c>
      <c r="AK36" s="189"/>
      <c r="AL36" s="193"/>
      <c r="AM36" s="125"/>
    </row>
    <row r="37" spans="1:39" ht="24">
      <c r="A37" s="9"/>
      <c r="B37" s="174">
        <f t="shared" si="18"/>
        <v>30</v>
      </c>
      <c r="C37" s="188" t="str">
        <f t="shared" si="19"/>
        <v>G30</v>
      </c>
      <c r="D37" s="175">
        <v>207</v>
      </c>
      <c r="E37" s="174" t="str">
        <f t="shared" si="0"/>
        <v>Quadruple LoE Films (88) 3mm/8mm Krypton</v>
      </c>
      <c r="F37" s="189"/>
      <c r="G37" s="177">
        <f t="shared" si="1"/>
        <v>0.31746031746031744</v>
      </c>
      <c r="H37" s="178">
        <f t="shared" si="2"/>
        <v>3</v>
      </c>
      <c r="I37" s="179">
        <f t="shared" si="3"/>
        <v>7</v>
      </c>
      <c r="J37" s="180" t="str">
        <f t="shared" si="4"/>
        <v/>
      </c>
      <c r="K37" s="181"/>
      <c r="L37" s="174" t="str">
        <f t="shared" si="5"/>
        <v>CLEAR 3MM</v>
      </c>
      <c r="M37" s="190"/>
      <c r="N37" s="191" t="str">
        <f t="shared" si="6"/>
        <v/>
      </c>
      <c r="O37" s="104"/>
      <c r="P37" s="192" t="str">
        <f t="shared" si="7"/>
        <v>KRYPTON 8MM</v>
      </c>
      <c r="Q37" s="189"/>
      <c r="R37" s="186" t="str">
        <f t="shared" si="8"/>
        <v/>
      </c>
      <c r="S37" s="181"/>
      <c r="T37" s="174" t="str">
        <f t="shared" si="9"/>
        <v>COATED POLY-88</v>
      </c>
      <c r="U37" s="190"/>
      <c r="V37" s="191" t="str">
        <f t="shared" si="10"/>
        <v/>
      </c>
      <c r="W37" s="104"/>
      <c r="X37" s="192" t="str">
        <f t="shared" si="11"/>
        <v>KRYPTON 3MM</v>
      </c>
      <c r="Y37" s="189"/>
      <c r="Z37" s="186" t="str">
        <f t="shared" si="12"/>
        <v/>
      </c>
      <c r="AA37" s="181"/>
      <c r="AB37" s="174" t="str">
        <f t="shared" si="13"/>
        <v>COATED POLY-88</v>
      </c>
      <c r="AC37" s="190"/>
      <c r="AD37" s="191" t="str">
        <f t="shared" si="14"/>
        <v/>
      </c>
      <c r="AE37" s="104"/>
      <c r="AF37" s="192" t="str">
        <f t="shared" si="15"/>
        <v>KRYPTON 8MM</v>
      </c>
      <c r="AG37" s="189"/>
      <c r="AH37" s="191" t="str">
        <f t="shared" si="16"/>
        <v/>
      </c>
      <c r="AI37" s="104"/>
      <c r="AJ37" s="192" t="str">
        <f t="shared" si="17"/>
        <v>CLEAR 3MM</v>
      </c>
      <c r="AK37" s="189"/>
      <c r="AL37" s="193"/>
      <c r="AM37" s="125"/>
    </row>
    <row r="38" spans="1:39" ht="24">
      <c r="A38" s="9"/>
      <c r="B38" s="174">
        <f t="shared" si="18"/>
        <v>31</v>
      </c>
      <c r="C38" s="188" t="str">
        <f t="shared" si="19"/>
        <v>G31</v>
      </c>
      <c r="D38" s="175">
        <v>207</v>
      </c>
      <c r="E38" s="174" t="str">
        <f t="shared" si="0"/>
        <v>Quadruple LoE Films (88) 3mm/8mm Krypton</v>
      </c>
      <c r="F38" s="189"/>
      <c r="G38" s="177">
        <f t="shared" si="1"/>
        <v>0.31746031746031744</v>
      </c>
      <c r="H38" s="178">
        <f t="shared" si="2"/>
        <v>3</v>
      </c>
      <c r="I38" s="179">
        <f t="shared" si="3"/>
        <v>7</v>
      </c>
      <c r="J38" s="180" t="str">
        <f t="shared" si="4"/>
        <v/>
      </c>
      <c r="K38" s="181"/>
      <c r="L38" s="174" t="str">
        <f t="shared" si="5"/>
        <v>CLEAR 3MM</v>
      </c>
      <c r="M38" s="190"/>
      <c r="N38" s="191" t="str">
        <f t="shared" si="6"/>
        <v/>
      </c>
      <c r="O38" s="104"/>
      <c r="P38" s="192" t="str">
        <f t="shared" si="7"/>
        <v>KRYPTON 8MM</v>
      </c>
      <c r="Q38" s="189"/>
      <c r="R38" s="186" t="str">
        <f t="shared" si="8"/>
        <v/>
      </c>
      <c r="S38" s="181"/>
      <c r="T38" s="174" t="str">
        <f t="shared" si="9"/>
        <v>COATED POLY-88</v>
      </c>
      <c r="U38" s="190"/>
      <c r="V38" s="191" t="str">
        <f t="shared" si="10"/>
        <v/>
      </c>
      <c r="W38" s="104"/>
      <c r="X38" s="192" t="str">
        <f t="shared" si="11"/>
        <v>KRYPTON 3MM</v>
      </c>
      <c r="Y38" s="189"/>
      <c r="Z38" s="186" t="str">
        <f t="shared" si="12"/>
        <v/>
      </c>
      <c r="AA38" s="181"/>
      <c r="AB38" s="174" t="str">
        <f t="shared" si="13"/>
        <v>COATED POLY-88</v>
      </c>
      <c r="AC38" s="190"/>
      <c r="AD38" s="191" t="str">
        <f t="shared" si="14"/>
        <v/>
      </c>
      <c r="AE38" s="104"/>
      <c r="AF38" s="192" t="str">
        <f t="shared" si="15"/>
        <v>KRYPTON 8MM</v>
      </c>
      <c r="AG38" s="189"/>
      <c r="AH38" s="191" t="str">
        <f t="shared" si="16"/>
        <v/>
      </c>
      <c r="AI38" s="104"/>
      <c r="AJ38" s="192" t="str">
        <f t="shared" si="17"/>
        <v>CLEAR 3MM</v>
      </c>
      <c r="AK38" s="189"/>
      <c r="AL38" s="193"/>
      <c r="AM38" s="125"/>
    </row>
    <row r="39" spans="1:39" ht="24">
      <c r="A39" s="9"/>
      <c r="B39" s="174">
        <f t="shared" si="18"/>
        <v>32</v>
      </c>
      <c r="C39" s="194" t="str">
        <f t="shared" si="19"/>
        <v>G32</v>
      </c>
      <c r="D39" s="175">
        <v>207</v>
      </c>
      <c r="E39" s="174" t="str">
        <f t="shared" si="0"/>
        <v>Quadruple LoE Films (88) 3mm/8mm Krypton</v>
      </c>
      <c r="F39" s="195"/>
      <c r="G39" s="177">
        <f t="shared" si="1"/>
        <v>0.31746031746031744</v>
      </c>
      <c r="H39" s="178">
        <f t="shared" si="2"/>
        <v>3</v>
      </c>
      <c r="I39" s="179">
        <f t="shared" si="3"/>
        <v>7</v>
      </c>
      <c r="J39" s="180" t="str">
        <f t="shared" si="4"/>
        <v/>
      </c>
      <c r="K39" s="181"/>
      <c r="L39" s="174" t="str">
        <f t="shared" si="5"/>
        <v>CLEAR 3MM</v>
      </c>
      <c r="M39" s="190"/>
      <c r="N39" s="196" t="str">
        <f t="shared" si="6"/>
        <v/>
      </c>
      <c r="O39" s="197"/>
      <c r="P39" s="198" t="str">
        <f t="shared" si="7"/>
        <v>KRYPTON 8MM</v>
      </c>
      <c r="Q39" s="195"/>
      <c r="R39" s="186" t="str">
        <f t="shared" si="8"/>
        <v/>
      </c>
      <c r="S39" s="181"/>
      <c r="T39" s="174" t="str">
        <f t="shared" si="9"/>
        <v>COATED POLY-88</v>
      </c>
      <c r="U39" s="190"/>
      <c r="V39" s="196" t="str">
        <f t="shared" si="10"/>
        <v/>
      </c>
      <c r="W39" s="197"/>
      <c r="X39" s="198" t="str">
        <f t="shared" si="11"/>
        <v>KRYPTON 3MM</v>
      </c>
      <c r="Y39" s="195"/>
      <c r="Z39" s="186" t="str">
        <f t="shared" si="12"/>
        <v/>
      </c>
      <c r="AA39" s="181"/>
      <c r="AB39" s="174" t="str">
        <f t="shared" si="13"/>
        <v>COATED POLY-88</v>
      </c>
      <c r="AC39" s="190"/>
      <c r="AD39" s="196" t="str">
        <f t="shared" si="14"/>
        <v/>
      </c>
      <c r="AE39" s="197"/>
      <c r="AF39" s="198" t="str">
        <f t="shared" si="15"/>
        <v>KRYPTON 8MM</v>
      </c>
      <c r="AG39" s="195"/>
      <c r="AH39" s="196" t="str">
        <f t="shared" si="16"/>
        <v/>
      </c>
      <c r="AI39" s="197"/>
      <c r="AJ39" s="198" t="str">
        <f t="shared" si="17"/>
        <v>CLEAR 3MM</v>
      </c>
      <c r="AK39" s="195"/>
      <c r="AL39" s="199"/>
      <c r="AM39" s="125"/>
    </row>
    <row r="40" spans="1:39"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6"/>
    </row>
  </sheetData>
  <mergeCells count="20">
    <mergeCell ref="Z2:AA2"/>
    <mergeCell ref="AB2:AE2"/>
    <mergeCell ref="AH2:AJ2"/>
    <mergeCell ref="B3:F3"/>
    <mergeCell ref="G3:H3"/>
    <mergeCell ref="J3:Y3"/>
    <mergeCell ref="Z3:AK3"/>
    <mergeCell ref="G2:I2"/>
    <mergeCell ref="J2:K2"/>
    <mergeCell ref="L2:O2"/>
    <mergeCell ref="R2:T2"/>
    <mergeCell ref="V2:X2"/>
    <mergeCell ref="Z4:AC4"/>
    <mergeCell ref="AD4:AG4"/>
    <mergeCell ref="AH4:AK4"/>
    <mergeCell ref="I4:I5"/>
    <mergeCell ref="J4:M4"/>
    <mergeCell ref="N4:Q4"/>
    <mergeCell ref="R4:U4"/>
    <mergeCell ref="V4:Y4"/>
  </mergeCells>
  <dataValidations count="1">
    <dataValidation type="list" allowBlank="1" showDropDown="1" showInputMessage="1" showErrorMessage="1" sqref="F8 M8 Q8 U8 Y8 AC8 AG8 AK8">
      <formula1>$AZ$8:$AZ$16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0" scale="0" firstPageNumber="0" orientation="portrait" usePrinterDefaults="0" horizontalDpi="0" verticalDpi="0" copies="0"/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1"/>
  <sheetViews>
    <sheetView tabSelected="1" zoomScaleNormal="100" zoomScalePageLayoutView="60" workbookViewId="0">
      <selection activeCell="E20" sqref="E20"/>
    </sheetView>
  </sheetViews>
  <sheetFormatPr defaultRowHeight="14.25"/>
  <cols>
    <col min="1" max="1" width="1.125" style="1"/>
    <col min="2" max="2" width="6" style="1"/>
    <col min="3" max="3" width="24.25" style="1"/>
    <col min="4" max="4" width="15.5" style="1"/>
    <col min="5" max="5" width="15.125" style="1"/>
    <col min="6" max="6" width="10.25" style="1"/>
    <col min="7" max="7" width="7.75" style="1"/>
    <col min="8" max="8" width="7.5" style="1"/>
    <col min="9" max="9" width="16" style="1"/>
    <col min="10" max="10" width="5.5" style="1"/>
    <col min="11" max="11" width="9.25" style="1"/>
    <col min="12" max="20" width="7.75" style="1"/>
    <col min="21" max="21" width="6.375" style="1"/>
    <col min="22" max="22" width="6.625" style="1"/>
    <col min="23" max="23" width="1" style="1"/>
    <col min="24" max="1025" width="11.75" style="1"/>
  </cols>
  <sheetData>
    <row r="1" spans="1:24" s="2" customFormat="1" ht="45"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183</v>
      </c>
      <c r="J1" s="2" t="s">
        <v>184</v>
      </c>
      <c r="K1" s="2" t="s">
        <v>185</v>
      </c>
      <c r="L1" s="2" t="s">
        <v>186</v>
      </c>
      <c r="M1" s="2" t="s">
        <v>187</v>
      </c>
      <c r="N1" s="2" t="s">
        <v>188</v>
      </c>
      <c r="O1" s="2" t="s">
        <v>189</v>
      </c>
      <c r="P1" s="2" t="s">
        <v>190</v>
      </c>
      <c r="Q1" s="2" t="s">
        <v>191</v>
      </c>
      <c r="R1" s="2" t="s">
        <v>192</v>
      </c>
      <c r="S1" s="2" t="s">
        <v>193</v>
      </c>
      <c r="T1" s="2" t="s">
        <v>194</v>
      </c>
      <c r="U1" s="2" t="s">
        <v>195</v>
      </c>
      <c r="V1" s="2" t="s">
        <v>196</v>
      </c>
    </row>
    <row r="2" spans="1:24" ht="18.95" customHeight="1">
      <c r="B2" s="435" t="s">
        <v>197</v>
      </c>
      <c r="C2" s="435"/>
      <c r="D2" s="435"/>
      <c r="E2" s="435"/>
      <c r="F2" s="200"/>
      <c r="G2" s="201"/>
      <c r="H2" s="201"/>
      <c r="I2" s="111"/>
      <c r="J2" s="111"/>
      <c r="K2" s="111"/>
      <c r="L2" s="111"/>
      <c r="M2" s="201"/>
      <c r="N2" s="201"/>
      <c r="O2" s="202"/>
      <c r="P2" s="202"/>
      <c r="Q2" s="202"/>
      <c r="R2" s="202"/>
      <c r="S2" s="202"/>
      <c r="T2" s="111"/>
      <c r="U2" s="203"/>
      <c r="V2" s="203"/>
      <c r="W2" s="111"/>
    </row>
    <row r="3" spans="1:24" ht="15.6" customHeight="1">
      <c r="A3" s="9"/>
      <c r="B3" s="204"/>
      <c r="C3" s="204"/>
      <c r="D3" s="204"/>
      <c r="E3" s="205"/>
      <c r="F3" s="205"/>
      <c r="G3" s="205"/>
      <c r="H3" s="205"/>
      <c r="I3" s="205"/>
      <c r="J3" s="436" t="s">
        <v>198</v>
      </c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205"/>
      <c r="V3" s="205"/>
      <c r="W3" s="206"/>
    </row>
    <row r="4" spans="1:24" ht="62.65" customHeight="1">
      <c r="A4" s="9"/>
      <c r="B4" s="207" t="s">
        <v>25</v>
      </c>
      <c r="C4" s="207" t="s">
        <v>41</v>
      </c>
      <c r="D4" s="207" t="s">
        <v>112</v>
      </c>
      <c r="E4" s="208" t="s">
        <v>199</v>
      </c>
      <c r="F4" s="209" t="s">
        <v>200</v>
      </c>
      <c r="G4" s="209" t="s">
        <v>201</v>
      </c>
      <c r="H4" s="210" t="s">
        <v>202</v>
      </c>
      <c r="I4" s="211" t="s">
        <v>203</v>
      </c>
      <c r="J4" s="209" t="s">
        <v>116</v>
      </c>
      <c r="K4" s="209" t="s">
        <v>204</v>
      </c>
      <c r="L4" s="209" t="s">
        <v>205</v>
      </c>
      <c r="M4" s="209" t="s">
        <v>206</v>
      </c>
      <c r="N4" s="209" t="s">
        <v>207</v>
      </c>
      <c r="O4" s="209" t="s">
        <v>208</v>
      </c>
      <c r="P4" s="209" t="s">
        <v>209</v>
      </c>
      <c r="Q4" s="209" t="s">
        <v>210</v>
      </c>
      <c r="R4" s="209" t="s">
        <v>211</v>
      </c>
      <c r="S4" s="209" t="s">
        <v>212</v>
      </c>
      <c r="T4" s="209" t="s">
        <v>213</v>
      </c>
      <c r="U4" s="209" t="s">
        <v>214</v>
      </c>
      <c r="V4" s="212" t="s">
        <v>215</v>
      </c>
      <c r="W4" s="213"/>
    </row>
    <row r="5" spans="1:24" ht="16.5">
      <c r="A5" s="9"/>
      <c r="B5" s="214"/>
      <c r="C5" s="214"/>
      <c r="D5" s="214"/>
      <c r="E5" s="215"/>
      <c r="F5" s="216" t="s">
        <v>216</v>
      </c>
      <c r="G5" s="215" t="s">
        <v>217</v>
      </c>
      <c r="H5" s="217" t="s">
        <v>216</v>
      </c>
      <c r="I5" s="218"/>
      <c r="J5" s="216" t="s">
        <v>218</v>
      </c>
      <c r="K5" s="216" t="s">
        <v>219</v>
      </c>
      <c r="L5" s="216" t="s">
        <v>220</v>
      </c>
      <c r="M5" s="216" t="s">
        <v>221</v>
      </c>
      <c r="N5" s="216" t="s">
        <v>222</v>
      </c>
      <c r="O5" s="216" t="s">
        <v>223</v>
      </c>
      <c r="P5" s="216" t="s">
        <v>224</v>
      </c>
      <c r="Q5" s="216" t="s">
        <v>225</v>
      </c>
      <c r="R5" s="216" t="s">
        <v>226</v>
      </c>
      <c r="S5" s="216" t="s">
        <v>227</v>
      </c>
      <c r="T5" s="219" t="s">
        <v>228</v>
      </c>
      <c r="U5" s="220"/>
      <c r="V5" s="220"/>
      <c r="W5" s="213"/>
    </row>
    <row r="6" spans="1:24">
      <c r="A6" s="9"/>
      <c r="B6" s="221"/>
      <c r="C6" s="222"/>
      <c r="D6" s="222"/>
      <c r="E6" s="222"/>
      <c r="F6" s="223"/>
      <c r="G6" s="222"/>
      <c r="H6" s="224"/>
      <c r="I6" s="225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6"/>
      <c r="W6" s="213"/>
    </row>
    <row r="7" spans="1:24">
      <c r="A7" s="9"/>
      <c r="B7" s="227">
        <v>1</v>
      </c>
      <c r="C7" s="228" t="s">
        <v>1195</v>
      </c>
      <c r="D7" s="228" t="s">
        <v>630</v>
      </c>
      <c r="E7" s="228"/>
      <c r="F7" s="229"/>
      <c r="G7" s="230" t="e">
        <f t="shared" ref="G7:G23" si="0">T7^-1*J7/1000</f>
        <v>#DIV/0!</v>
      </c>
      <c r="H7" s="229"/>
      <c r="I7" s="231"/>
      <c r="J7" s="232">
        <v>3.2</v>
      </c>
      <c r="K7" s="232"/>
      <c r="L7" s="233"/>
      <c r="M7" s="233"/>
      <c r="N7" s="233"/>
      <c r="O7" s="233"/>
      <c r="P7" s="233"/>
      <c r="Q7" s="233"/>
      <c r="R7" s="233"/>
      <c r="S7" s="233"/>
      <c r="T7" s="233"/>
      <c r="U7" s="234"/>
      <c r="V7" s="232"/>
      <c r="W7" s="213"/>
      <c r="X7" s="1" t="s">
        <v>232</v>
      </c>
    </row>
    <row r="8" spans="1:24">
      <c r="A8" s="9"/>
      <c r="B8" s="227">
        <f t="shared" ref="B8:B43" si="1">B7+1</f>
        <v>2</v>
      </c>
      <c r="C8" s="228" t="s">
        <v>966</v>
      </c>
      <c r="D8" s="228" t="s">
        <v>630</v>
      </c>
      <c r="E8" s="228"/>
      <c r="F8" s="229"/>
      <c r="G8" s="230" t="e">
        <f t="shared" si="0"/>
        <v>#DIV/0!</v>
      </c>
      <c r="H8" s="229"/>
      <c r="I8" s="231"/>
      <c r="J8" s="232">
        <v>6.3</v>
      </c>
      <c r="K8" s="232"/>
      <c r="L8" s="233"/>
      <c r="M8" s="233"/>
      <c r="N8" s="233"/>
      <c r="O8" s="233"/>
      <c r="P8" s="233"/>
      <c r="Q8" s="233"/>
      <c r="R8" s="233"/>
      <c r="S8" s="233"/>
      <c r="T8" s="233"/>
      <c r="U8" s="234"/>
      <c r="V8" s="232"/>
      <c r="W8" s="213"/>
      <c r="X8" s="1" t="s">
        <v>233</v>
      </c>
    </row>
    <row r="9" spans="1:24">
      <c r="A9" s="9"/>
      <c r="B9" s="227">
        <f t="shared" si="1"/>
        <v>3</v>
      </c>
      <c r="C9" s="228" t="s">
        <v>1196</v>
      </c>
      <c r="D9" s="228" t="s">
        <v>630</v>
      </c>
      <c r="E9" s="228"/>
      <c r="F9" s="229"/>
      <c r="G9" s="230" t="e">
        <f t="shared" si="0"/>
        <v>#DIV/0!</v>
      </c>
      <c r="H9" s="229"/>
      <c r="I9" s="231"/>
      <c r="J9" s="232">
        <v>7.9</v>
      </c>
      <c r="K9" s="232"/>
      <c r="L9" s="233"/>
      <c r="M9" s="233"/>
      <c r="N9" s="233"/>
      <c r="O9" s="233"/>
      <c r="P9" s="233"/>
      <c r="Q9" s="233"/>
      <c r="R9" s="233"/>
      <c r="S9" s="233"/>
      <c r="T9" s="233"/>
      <c r="U9" s="234"/>
      <c r="V9" s="232"/>
      <c r="W9" s="213"/>
      <c r="X9" s="1" t="s">
        <v>234</v>
      </c>
    </row>
    <row r="10" spans="1:24">
      <c r="A10" s="9"/>
      <c r="B10" s="227">
        <f t="shared" si="1"/>
        <v>4</v>
      </c>
      <c r="C10" s="228" t="s">
        <v>968</v>
      </c>
      <c r="D10" s="228" t="s">
        <v>630</v>
      </c>
      <c r="E10" s="228"/>
      <c r="F10" s="229"/>
      <c r="G10" s="230" t="e">
        <f t="shared" si="0"/>
        <v>#DIV/0!</v>
      </c>
      <c r="H10" s="229"/>
      <c r="I10" s="231"/>
      <c r="J10" s="232">
        <v>12.7</v>
      </c>
      <c r="K10" s="232"/>
      <c r="L10" s="233"/>
      <c r="M10" s="233"/>
      <c r="N10" s="233"/>
      <c r="O10" s="233"/>
      <c r="P10" s="233"/>
      <c r="Q10" s="233"/>
      <c r="R10" s="233"/>
      <c r="S10" s="233"/>
      <c r="T10" s="233"/>
      <c r="U10" s="234"/>
      <c r="V10" s="232"/>
      <c r="W10" s="213"/>
      <c r="X10" s="1" t="s">
        <v>235</v>
      </c>
    </row>
    <row r="11" spans="1:24">
      <c r="A11" s="9"/>
      <c r="B11" s="227">
        <f t="shared" si="1"/>
        <v>5</v>
      </c>
      <c r="C11" s="228" t="s">
        <v>1197</v>
      </c>
      <c r="D11" s="228" t="s">
        <v>1191</v>
      </c>
      <c r="E11" s="228"/>
      <c r="F11" s="229"/>
      <c r="G11" s="230" t="e">
        <f t="shared" si="0"/>
        <v>#DIV/0!</v>
      </c>
      <c r="H11" s="229"/>
      <c r="I11" s="231"/>
      <c r="J11" s="232">
        <v>3.2</v>
      </c>
      <c r="K11" s="232"/>
      <c r="L11" s="233"/>
      <c r="M11" s="233"/>
      <c r="N11" s="233"/>
      <c r="O11" s="233"/>
      <c r="P11" s="233"/>
      <c r="Q11" s="233"/>
      <c r="R11" s="233"/>
      <c r="S11" s="233"/>
      <c r="T11" s="233"/>
      <c r="U11" s="234"/>
      <c r="V11" s="232"/>
      <c r="W11" s="213"/>
      <c r="X11" s="1" t="s">
        <v>236</v>
      </c>
    </row>
    <row r="12" spans="1:24">
      <c r="A12" s="9"/>
      <c r="B12" s="227">
        <f t="shared" si="1"/>
        <v>6</v>
      </c>
      <c r="C12" s="228" t="s">
        <v>1198</v>
      </c>
      <c r="D12" s="228" t="s">
        <v>1191</v>
      </c>
      <c r="E12" s="228"/>
      <c r="F12" s="229"/>
      <c r="G12" s="230" t="e">
        <f t="shared" si="0"/>
        <v>#DIV/0!</v>
      </c>
      <c r="H12" s="229"/>
      <c r="I12" s="231"/>
      <c r="J12" s="232">
        <v>6.3</v>
      </c>
      <c r="K12" s="232"/>
      <c r="L12" s="233"/>
      <c r="M12" s="233"/>
      <c r="N12" s="233"/>
      <c r="O12" s="233"/>
      <c r="P12" s="233"/>
      <c r="Q12" s="233"/>
      <c r="R12" s="233"/>
      <c r="S12" s="233"/>
      <c r="T12" s="233"/>
      <c r="U12" s="234"/>
      <c r="V12" s="232"/>
      <c r="W12" s="213"/>
      <c r="X12" s="1" t="s">
        <v>237</v>
      </c>
    </row>
    <row r="13" spans="1:24">
      <c r="A13" s="9"/>
      <c r="B13" s="227">
        <f t="shared" si="1"/>
        <v>7</v>
      </c>
      <c r="C13" s="228" t="s">
        <v>1199</v>
      </c>
      <c r="D13" s="228" t="s">
        <v>1191</v>
      </c>
      <c r="E13" s="228"/>
      <c r="F13" s="229"/>
      <c r="G13" s="230" t="e">
        <f t="shared" si="0"/>
        <v>#DIV/0!</v>
      </c>
      <c r="H13" s="229"/>
      <c r="I13" s="231"/>
      <c r="J13" s="232">
        <v>7.9</v>
      </c>
      <c r="K13" s="232"/>
      <c r="L13" s="233"/>
      <c r="M13" s="233"/>
      <c r="N13" s="233"/>
      <c r="O13" s="233"/>
      <c r="P13" s="233"/>
      <c r="Q13" s="233"/>
      <c r="R13" s="233"/>
      <c r="S13" s="233"/>
      <c r="T13" s="233"/>
      <c r="U13" s="234"/>
      <c r="V13" s="232"/>
      <c r="W13" s="213"/>
      <c r="X13" s="1" t="s">
        <v>238</v>
      </c>
    </row>
    <row r="14" spans="1:24">
      <c r="A14" s="9"/>
      <c r="B14" s="227">
        <f t="shared" si="1"/>
        <v>8</v>
      </c>
      <c r="C14" s="228" t="s">
        <v>970</v>
      </c>
      <c r="D14" s="228" t="s">
        <v>1191</v>
      </c>
      <c r="E14" s="228"/>
      <c r="F14" s="229"/>
      <c r="G14" s="230" t="e">
        <f t="shared" si="0"/>
        <v>#DIV/0!</v>
      </c>
      <c r="H14" s="229"/>
      <c r="I14" s="231"/>
      <c r="J14" s="232">
        <v>12.7</v>
      </c>
      <c r="K14" s="232"/>
      <c r="L14" s="233"/>
      <c r="M14" s="233"/>
      <c r="N14" s="233"/>
      <c r="O14" s="233"/>
      <c r="P14" s="233"/>
      <c r="Q14" s="233"/>
      <c r="R14" s="233"/>
      <c r="S14" s="233"/>
      <c r="T14" s="233"/>
      <c r="U14" s="234"/>
      <c r="V14" s="232"/>
      <c r="W14" s="213"/>
      <c r="X14" s="1" t="s">
        <v>239</v>
      </c>
    </row>
    <row r="15" spans="1:24">
      <c r="A15" s="9"/>
      <c r="B15" s="227">
        <f t="shared" si="1"/>
        <v>9</v>
      </c>
      <c r="C15" s="228" t="s">
        <v>1139</v>
      </c>
      <c r="D15" s="228" t="s">
        <v>1190</v>
      </c>
      <c r="E15" s="228"/>
      <c r="F15" s="229"/>
      <c r="G15" s="230" t="e">
        <f t="shared" si="0"/>
        <v>#DIV/0!</v>
      </c>
      <c r="H15" s="229"/>
      <c r="I15" s="231"/>
      <c r="J15" s="232">
        <v>3.2</v>
      </c>
      <c r="K15" s="232"/>
      <c r="L15" s="233"/>
      <c r="M15" s="233"/>
      <c r="N15" s="233"/>
      <c r="O15" s="233"/>
      <c r="P15" s="233"/>
      <c r="Q15" s="233"/>
      <c r="R15" s="233"/>
      <c r="S15" s="233"/>
      <c r="T15" s="233"/>
      <c r="U15" s="234"/>
      <c r="V15" s="232"/>
      <c r="W15" s="213"/>
      <c r="X15" s="1" t="s">
        <v>240</v>
      </c>
    </row>
    <row r="16" spans="1:24">
      <c r="A16" s="9"/>
      <c r="B16" s="227">
        <f t="shared" si="1"/>
        <v>10</v>
      </c>
      <c r="C16" s="228" t="s">
        <v>1200</v>
      </c>
      <c r="D16" s="228" t="s">
        <v>1190</v>
      </c>
      <c r="E16" s="228"/>
      <c r="F16" s="229"/>
      <c r="G16" s="230" t="e">
        <f t="shared" si="0"/>
        <v>#DIV/0!</v>
      </c>
      <c r="H16" s="229"/>
      <c r="I16" s="231"/>
      <c r="J16" s="232">
        <v>6.3</v>
      </c>
      <c r="K16" s="232"/>
      <c r="L16" s="233"/>
      <c r="M16" s="233"/>
      <c r="N16" s="233"/>
      <c r="O16" s="233"/>
      <c r="P16" s="233"/>
      <c r="Q16" s="233"/>
      <c r="R16" s="233"/>
      <c r="S16" s="233"/>
      <c r="T16" s="233"/>
      <c r="U16" s="234"/>
      <c r="V16" s="232"/>
      <c r="W16" s="213"/>
      <c r="X16" s="1" t="s">
        <v>241</v>
      </c>
    </row>
    <row r="17" spans="1:24">
      <c r="A17" s="9"/>
      <c r="B17" s="227">
        <f t="shared" si="1"/>
        <v>11</v>
      </c>
      <c r="C17" s="228" t="s">
        <v>1138</v>
      </c>
      <c r="D17" s="228" t="s">
        <v>1190</v>
      </c>
      <c r="E17" s="228"/>
      <c r="F17" s="229"/>
      <c r="G17" s="230" t="e">
        <f t="shared" si="0"/>
        <v>#DIV/0!</v>
      </c>
      <c r="H17" s="229"/>
      <c r="I17" s="231"/>
      <c r="J17" s="232">
        <v>7.9</v>
      </c>
      <c r="K17" s="232"/>
      <c r="L17" s="233"/>
      <c r="M17" s="233"/>
      <c r="N17" s="233"/>
      <c r="O17" s="233"/>
      <c r="P17" s="233"/>
      <c r="Q17" s="233"/>
      <c r="R17" s="233"/>
      <c r="S17" s="233"/>
      <c r="T17" s="233"/>
      <c r="U17" s="234"/>
      <c r="V17" s="232"/>
      <c r="W17" s="213"/>
      <c r="X17" s="1" t="s">
        <v>242</v>
      </c>
    </row>
    <row r="18" spans="1:24">
      <c r="A18" s="9"/>
      <c r="B18" s="227">
        <f t="shared" si="1"/>
        <v>12</v>
      </c>
      <c r="C18" s="228" t="s">
        <v>1201</v>
      </c>
      <c r="D18" s="228" t="s">
        <v>1190</v>
      </c>
      <c r="E18" s="228"/>
      <c r="F18" s="229"/>
      <c r="G18" s="230" t="e">
        <f t="shared" si="0"/>
        <v>#DIV/0!</v>
      </c>
      <c r="H18" s="229"/>
      <c r="I18" s="231"/>
      <c r="J18" s="232">
        <v>12.7</v>
      </c>
      <c r="K18" s="232"/>
      <c r="L18" s="233"/>
      <c r="M18" s="233"/>
      <c r="N18" s="233"/>
      <c r="O18" s="233"/>
      <c r="P18" s="233"/>
      <c r="Q18" s="233"/>
      <c r="R18" s="233"/>
      <c r="S18" s="233"/>
      <c r="T18" s="233"/>
      <c r="U18" s="234"/>
      <c r="V18" s="232"/>
      <c r="W18" s="213"/>
    </row>
    <row r="19" spans="1:24">
      <c r="A19" s="9"/>
      <c r="B19" s="227">
        <f t="shared" si="1"/>
        <v>13</v>
      </c>
      <c r="C19" s="228" t="s">
        <v>1202</v>
      </c>
      <c r="D19" s="228" t="s">
        <v>1203</v>
      </c>
      <c r="E19" s="228"/>
      <c r="F19" s="229"/>
      <c r="G19" s="230" t="e">
        <f t="shared" si="0"/>
        <v>#DIV/0!</v>
      </c>
      <c r="H19" s="229"/>
      <c r="I19" s="231"/>
      <c r="J19" s="232">
        <v>3.2</v>
      </c>
      <c r="K19" s="232"/>
      <c r="L19" s="233"/>
      <c r="M19" s="233"/>
      <c r="N19" s="233"/>
      <c r="O19" s="233"/>
      <c r="P19" s="233"/>
      <c r="Q19" s="233"/>
      <c r="R19" s="233"/>
      <c r="S19" s="233"/>
      <c r="T19" s="233"/>
      <c r="U19" s="234"/>
      <c r="V19" s="232"/>
      <c r="W19" s="213"/>
    </row>
    <row r="20" spans="1:24">
      <c r="A20" s="9"/>
      <c r="B20" s="227">
        <f t="shared" si="1"/>
        <v>14</v>
      </c>
      <c r="C20" s="228" t="s">
        <v>1204</v>
      </c>
      <c r="D20" s="228" t="s">
        <v>1203</v>
      </c>
      <c r="E20" s="228"/>
      <c r="F20" s="229"/>
      <c r="G20" s="230" t="e">
        <f t="shared" si="0"/>
        <v>#DIV/0!</v>
      </c>
      <c r="H20" s="229"/>
      <c r="I20" s="231"/>
      <c r="J20" s="232">
        <v>6.3</v>
      </c>
      <c r="K20" s="232"/>
      <c r="L20" s="233"/>
      <c r="M20" s="233"/>
      <c r="N20" s="233"/>
      <c r="O20" s="233"/>
      <c r="P20" s="233"/>
      <c r="Q20" s="233"/>
      <c r="R20" s="233"/>
      <c r="S20" s="233"/>
      <c r="T20" s="233"/>
      <c r="U20" s="234"/>
      <c r="V20" s="232"/>
      <c r="W20" s="213"/>
    </row>
    <row r="21" spans="1:24">
      <c r="A21" s="9"/>
      <c r="B21" s="227">
        <f t="shared" si="1"/>
        <v>15</v>
      </c>
      <c r="C21" s="228" t="s">
        <v>1205</v>
      </c>
      <c r="D21" s="228" t="s">
        <v>1203</v>
      </c>
      <c r="E21" s="228"/>
      <c r="F21" s="229"/>
      <c r="G21" s="230" t="e">
        <f t="shared" si="0"/>
        <v>#DIV/0!</v>
      </c>
      <c r="H21" s="229"/>
      <c r="I21" s="231"/>
      <c r="J21" s="232">
        <v>7.9</v>
      </c>
      <c r="K21" s="232"/>
      <c r="L21" s="233"/>
      <c r="M21" s="233"/>
      <c r="N21" s="233"/>
      <c r="O21" s="233"/>
      <c r="P21" s="233"/>
      <c r="Q21" s="233"/>
      <c r="R21" s="233"/>
      <c r="S21" s="233"/>
      <c r="T21" s="233"/>
      <c r="U21" s="234"/>
      <c r="V21" s="232"/>
      <c r="W21" s="213"/>
    </row>
    <row r="22" spans="1:24">
      <c r="A22" s="9"/>
      <c r="B22" s="227">
        <f t="shared" si="1"/>
        <v>16</v>
      </c>
      <c r="C22" s="228" t="s">
        <v>1206</v>
      </c>
      <c r="D22" s="228" t="s">
        <v>1203</v>
      </c>
      <c r="E22" s="228"/>
      <c r="F22" s="229"/>
      <c r="G22" s="230" t="e">
        <f t="shared" si="0"/>
        <v>#DIV/0!</v>
      </c>
      <c r="H22" s="229"/>
      <c r="I22" s="231"/>
      <c r="J22" s="232">
        <v>12.7</v>
      </c>
      <c r="K22" s="232"/>
      <c r="L22" s="233"/>
      <c r="M22" s="233"/>
      <c r="N22" s="233"/>
      <c r="O22" s="233"/>
      <c r="P22" s="233"/>
      <c r="Q22" s="233"/>
      <c r="R22" s="233"/>
      <c r="S22" s="233"/>
      <c r="T22" s="233"/>
      <c r="U22" s="234"/>
      <c r="V22" s="232"/>
      <c r="W22" s="213"/>
    </row>
    <row r="23" spans="1:24">
      <c r="A23" s="9"/>
      <c r="B23" s="227">
        <f t="shared" si="1"/>
        <v>17</v>
      </c>
      <c r="C23" s="228"/>
      <c r="D23" s="228"/>
      <c r="E23" s="228"/>
      <c r="F23" s="229"/>
      <c r="G23" s="230" t="e">
        <f t="shared" si="0"/>
        <v>#DIV/0!</v>
      </c>
      <c r="H23" s="229"/>
      <c r="I23" s="231"/>
      <c r="J23" s="228"/>
      <c r="K23" s="232"/>
      <c r="L23" s="233"/>
      <c r="M23" s="233"/>
      <c r="N23" s="233"/>
      <c r="O23" s="233"/>
      <c r="P23" s="233"/>
      <c r="Q23" s="233"/>
      <c r="R23" s="233"/>
      <c r="S23" s="233"/>
      <c r="T23" s="233"/>
      <c r="U23" s="234"/>
      <c r="V23" s="232"/>
      <c r="W23" s="213"/>
    </row>
    <row r="24" spans="1:24">
      <c r="A24" s="9"/>
      <c r="B24" s="227">
        <f t="shared" si="1"/>
        <v>18</v>
      </c>
      <c r="C24" s="228"/>
      <c r="D24" s="228"/>
      <c r="E24" s="228"/>
      <c r="F24" s="229"/>
      <c r="G24" s="230"/>
      <c r="H24" s="229"/>
      <c r="I24" s="231"/>
      <c r="J24" s="228"/>
      <c r="K24" s="232"/>
      <c r="L24" s="233"/>
      <c r="M24" s="233"/>
      <c r="N24" s="233"/>
      <c r="O24" s="233"/>
      <c r="P24" s="233"/>
      <c r="Q24" s="233"/>
      <c r="R24" s="233"/>
      <c r="S24" s="233"/>
      <c r="T24" s="233"/>
      <c r="U24" s="234"/>
      <c r="V24" s="232"/>
      <c r="W24" s="213"/>
    </row>
    <row r="25" spans="1:24">
      <c r="A25" s="9"/>
      <c r="B25" s="227">
        <f t="shared" si="1"/>
        <v>19</v>
      </c>
      <c r="C25" s="228"/>
      <c r="D25" s="228"/>
      <c r="E25" s="228"/>
      <c r="F25" s="229"/>
      <c r="G25" s="230"/>
      <c r="H25" s="229"/>
      <c r="I25" s="231"/>
      <c r="J25" s="228"/>
      <c r="K25" s="232"/>
      <c r="L25" s="233"/>
      <c r="M25" s="233"/>
      <c r="N25" s="233"/>
      <c r="O25" s="233"/>
      <c r="P25" s="233"/>
      <c r="Q25" s="233"/>
      <c r="R25" s="233"/>
      <c r="S25" s="233"/>
      <c r="T25" s="233"/>
      <c r="U25" s="234"/>
      <c r="V25" s="232"/>
      <c r="W25" s="213"/>
    </row>
    <row r="26" spans="1:24">
      <c r="A26" s="9"/>
      <c r="B26" s="227">
        <f t="shared" si="1"/>
        <v>20</v>
      </c>
      <c r="C26" s="228"/>
      <c r="D26" s="228"/>
      <c r="E26" s="228"/>
      <c r="F26" s="229"/>
      <c r="G26" s="230"/>
      <c r="H26" s="229"/>
      <c r="I26" s="231"/>
      <c r="J26" s="228"/>
      <c r="K26" s="232"/>
      <c r="L26" s="233"/>
      <c r="M26" s="233"/>
      <c r="N26" s="233"/>
      <c r="O26" s="233"/>
      <c r="P26" s="233"/>
      <c r="Q26" s="233"/>
      <c r="R26" s="233"/>
      <c r="S26" s="233"/>
      <c r="T26" s="233"/>
      <c r="U26" s="234"/>
      <c r="V26" s="232"/>
      <c r="W26" s="213"/>
    </row>
    <row r="27" spans="1:24">
      <c r="A27" s="9"/>
      <c r="B27" s="227">
        <f t="shared" si="1"/>
        <v>21</v>
      </c>
      <c r="C27" s="228"/>
      <c r="D27" s="228"/>
      <c r="E27" s="228"/>
      <c r="F27" s="229"/>
      <c r="G27" s="230"/>
      <c r="H27" s="229"/>
      <c r="I27" s="231"/>
      <c r="J27" s="228"/>
      <c r="K27" s="232"/>
      <c r="L27" s="233"/>
      <c r="M27" s="233"/>
      <c r="N27" s="233"/>
      <c r="O27" s="233"/>
      <c r="P27" s="233"/>
      <c r="Q27" s="233"/>
      <c r="R27" s="233"/>
      <c r="S27" s="233"/>
      <c r="T27" s="233"/>
      <c r="U27" s="234"/>
      <c r="V27" s="232"/>
      <c r="W27" s="213"/>
    </row>
    <row r="28" spans="1:24">
      <c r="A28" s="9"/>
      <c r="B28" s="227">
        <f t="shared" si="1"/>
        <v>22</v>
      </c>
      <c r="C28" s="228"/>
      <c r="D28" s="228"/>
      <c r="E28" s="228"/>
      <c r="F28" s="229"/>
      <c r="G28" s="230"/>
      <c r="H28" s="229"/>
      <c r="I28" s="231"/>
      <c r="J28" s="228"/>
      <c r="K28" s="232"/>
      <c r="L28" s="233"/>
      <c r="M28" s="233"/>
      <c r="N28" s="233"/>
      <c r="O28" s="233"/>
      <c r="P28" s="233"/>
      <c r="Q28" s="233"/>
      <c r="R28" s="233"/>
      <c r="S28" s="233"/>
      <c r="T28" s="233"/>
      <c r="U28" s="234"/>
      <c r="V28" s="232"/>
      <c r="W28" s="213"/>
    </row>
    <row r="29" spans="1:24">
      <c r="A29" s="9"/>
      <c r="B29" s="227">
        <f t="shared" si="1"/>
        <v>23</v>
      </c>
      <c r="C29" s="228"/>
      <c r="D29" s="228"/>
      <c r="E29" s="228"/>
      <c r="F29" s="229"/>
      <c r="G29" s="230"/>
      <c r="H29" s="229"/>
      <c r="I29" s="231"/>
      <c r="J29" s="228"/>
      <c r="K29" s="232"/>
      <c r="L29" s="233"/>
      <c r="M29" s="233"/>
      <c r="N29" s="233"/>
      <c r="O29" s="233"/>
      <c r="P29" s="233"/>
      <c r="Q29" s="233"/>
      <c r="R29" s="233"/>
      <c r="S29" s="233"/>
      <c r="T29" s="233"/>
      <c r="U29" s="234"/>
      <c r="V29" s="232"/>
      <c r="W29" s="213"/>
    </row>
    <row r="30" spans="1:24">
      <c r="A30" s="9"/>
      <c r="B30" s="227">
        <f t="shared" si="1"/>
        <v>24</v>
      </c>
      <c r="C30" s="228"/>
      <c r="D30" s="228"/>
      <c r="E30" s="228"/>
      <c r="F30" s="229"/>
      <c r="G30" s="230"/>
      <c r="H30" s="229"/>
      <c r="I30" s="231"/>
      <c r="J30" s="228"/>
      <c r="K30" s="232"/>
      <c r="L30" s="233"/>
      <c r="M30" s="233"/>
      <c r="N30" s="233"/>
      <c r="O30" s="233"/>
      <c r="P30" s="233"/>
      <c r="Q30" s="233"/>
      <c r="R30" s="233"/>
      <c r="S30" s="233"/>
      <c r="T30" s="233"/>
      <c r="U30" s="234"/>
      <c r="V30" s="232"/>
      <c r="W30" s="213"/>
    </row>
    <row r="31" spans="1:24">
      <c r="A31" s="9"/>
      <c r="B31" s="227">
        <f t="shared" si="1"/>
        <v>25</v>
      </c>
      <c r="C31" s="228"/>
      <c r="D31" s="228"/>
      <c r="E31" s="228"/>
      <c r="F31" s="229"/>
      <c r="G31" s="230"/>
      <c r="H31" s="229"/>
      <c r="I31" s="231"/>
      <c r="J31" s="228"/>
      <c r="K31" s="232"/>
      <c r="L31" s="233"/>
      <c r="M31" s="233"/>
      <c r="N31" s="233"/>
      <c r="O31" s="233"/>
      <c r="P31" s="233"/>
      <c r="Q31" s="233"/>
      <c r="R31" s="233"/>
      <c r="S31" s="233"/>
      <c r="T31" s="233"/>
      <c r="U31" s="234"/>
      <c r="V31" s="232"/>
      <c r="W31" s="213"/>
    </row>
    <row r="32" spans="1:24">
      <c r="A32" s="9"/>
      <c r="B32" s="227">
        <f t="shared" si="1"/>
        <v>26</v>
      </c>
      <c r="C32" s="228"/>
      <c r="D32" s="228"/>
      <c r="E32" s="228"/>
      <c r="F32" s="229"/>
      <c r="G32" s="230"/>
      <c r="H32" s="229"/>
      <c r="I32" s="231"/>
      <c r="J32" s="228"/>
      <c r="K32" s="232"/>
      <c r="L32" s="233"/>
      <c r="M32" s="233"/>
      <c r="N32" s="233"/>
      <c r="O32" s="233"/>
      <c r="P32" s="233"/>
      <c r="Q32" s="233"/>
      <c r="R32" s="233"/>
      <c r="S32" s="233"/>
      <c r="T32" s="233"/>
      <c r="U32" s="234"/>
      <c r="V32" s="232"/>
      <c r="W32" s="213"/>
    </row>
    <row r="33" spans="1:23">
      <c r="A33" s="9"/>
      <c r="B33" s="227">
        <f t="shared" si="1"/>
        <v>27</v>
      </c>
      <c r="C33" s="228"/>
      <c r="D33" s="228"/>
      <c r="E33" s="228"/>
      <c r="F33" s="229"/>
      <c r="G33" s="230"/>
      <c r="H33" s="229"/>
      <c r="I33" s="231"/>
      <c r="J33" s="228"/>
      <c r="K33" s="232"/>
      <c r="L33" s="233"/>
      <c r="M33" s="233"/>
      <c r="N33" s="233"/>
      <c r="O33" s="233"/>
      <c r="P33" s="233"/>
      <c r="Q33" s="233"/>
      <c r="R33" s="233"/>
      <c r="S33" s="233"/>
      <c r="T33" s="233"/>
      <c r="U33" s="234"/>
      <c r="V33" s="232"/>
      <c r="W33" s="213"/>
    </row>
    <row r="34" spans="1:23">
      <c r="A34" s="9"/>
      <c r="B34" s="227">
        <f t="shared" si="1"/>
        <v>28</v>
      </c>
      <c r="C34" s="228"/>
      <c r="D34" s="228"/>
      <c r="E34" s="228"/>
      <c r="F34" s="229"/>
      <c r="G34" s="230"/>
      <c r="H34" s="229"/>
      <c r="I34" s="231"/>
      <c r="J34" s="228"/>
      <c r="K34" s="232"/>
      <c r="L34" s="233"/>
      <c r="M34" s="233"/>
      <c r="N34" s="233"/>
      <c r="O34" s="233"/>
      <c r="P34" s="233"/>
      <c r="Q34" s="233"/>
      <c r="R34" s="233"/>
      <c r="S34" s="233"/>
      <c r="T34" s="233"/>
      <c r="U34" s="234"/>
      <c r="V34" s="232"/>
      <c r="W34" s="213"/>
    </row>
    <row r="35" spans="1:23">
      <c r="A35" s="9"/>
      <c r="B35" s="227">
        <f t="shared" si="1"/>
        <v>29</v>
      </c>
      <c r="C35" s="228"/>
      <c r="D35" s="228"/>
      <c r="E35" s="228"/>
      <c r="F35" s="229"/>
      <c r="G35" s="230"/>
      <c r="H35" s="229"/>
      <c r="I35" s="231"/>
      <c r="J35" s="228"/>
      <c r="K35" s="232"/>
      <c r="L35" s="233"/>
      <c r="M35" s="233"/>
      <c r="N35" s="233"/>
      <c r="O35" s="233"/>
      <c r="P35" s="233"/>
      <c r="Q35" s="233"/>
      <c r="R35" s="233"/>
      <c r="S35" s="233"/>
      <c r="T35" s="233"/>
      <c r="U35" s="234"/>
      <c r="V35" s="232"/>
      <c r="W35" s="213"/>
    </row>
    <row r="36" spans="1:23">
      <c r="A36" s="9"/>
      <c r="B36" s="227">
        <f t="shared" si="1"/>
        <v>30</v>
      </c>
      <c r="C36" s="228"/>
      <c r="D36" s="228"/>
      <c r="E36" s="228"/>
      <c r="F36" s="229"/>
      <c r="G36" s="230"/>
      <c r="H36" s="229"/>
      <c r="I36" s="231"/>
      <c r="J36" s="228"/>
      <c r="K36" s="232"/>
      <c r="L36" s="233"/>
      <c r="M36" s="233"/>
      <c r="N36" s="233"/>
      <c r="O36" s="233"/>
      <c r="P36" s="233"/>
      <c r="Q36" s="233"/>
      <c r="R36" s="233"/>
      <c r="S36" s="233"/>
      <c r="T36" s="233"/>
      <c r="U36" s="234"/>
      <c r="V36" s="232"/>
      <c r="W36" s="213"/>
    </row>
    <row r="37" spans="1:23">
      <c r="A37" s="9"/>
      <c r="B37" s="227">
        <f t="shared" si="1"/>
        <v>31</v>
      </c>
      <c r="C37" s="228"/>
      <c r="D37" s="228"/>
      <c r="E37" s="228"/>
      <c r="F37" s="229"/>
      <c r="G37" s="230"/>
      <c r="H37" s="229"/>
      <c r="I37" s="231"/>
      <c r="J37" s="228"/>
      <c r="K37" s="232"/>
      <c r="L37" s="233"/>
      <c r="M37" s="233"/>
      <c r="N37" s="233"/>
      <c r="O37" s="233"/>
      <c r="P37" s="233"/>
      <c r="Q37" s="233"/>
      <c r="R37" s="233"/>
      <c r="S37" s="233"/>
      <c r="T37" s="233"/>
      <c r="U37" s="234"/>
      <c r="V37" s="232"/>
      <c r="W37" s="213"/>
    </row>
    <row r="38" spans="1:23">
      <c r="A38" s="9"/>
      <c r="B38" s="227">
        <f t="shared" si="1"/>
        <v>32</v>
      </c>
      <c r="C38" s="228"/>
      <c r="D38" s="228"/>
      <c r="E38" s="228"/>
      <c r="F38" s="229"/>
      <c r="G38" s="230"/>
      <c r="H38" s="229"/>
      <c r="I38" s="231"/>
      <c r="J38" s="228"/>
      <c r="K38" s="232"/>
      <c r="L38" s="233"/>
      <c r="M38" s="233"/>
      <c r="N38" s="233"/>
      <c r="O38" s="233"/>
      <c r="P38" s="233"/>
      <c r="Q38" s="233"/>
      <c r="R38" s="233"/>
      <c r="S38" s="233"/>
      <c r="T38" s="233"/>
      <c r="U38" s="234"/>
      <c r="V38" s="232"/>
      <c r="W38" s="213"/>
    </row>
    <row r="39" spans="1:23">
      <c r="A39" s="9"/>
      <c r="B39" s="227">
        <f t="shared" si="1"/>
        <v>33</v>
      </c>
      <c r="C39" s="228"/>
      <c r="D39" s="228"/>
      <c r="E39" s="228"/>
      <c r="F39" s="229"/>
      <c r="G39" s="230"/>
      <c r="H39" s="229"/>
      <c r="I39" s="231"/>
      <c r="J39" s="228"/>
      <c r="K39" s="232"/>
      <c r="L39" s="233"/>
      <c r="M39" s="233"/>
      <c r="N39" s="233"/>
      <c r="O39" s="233"/>
      <c r="P39" s="233"/>
      <c r="Q39" s="233"/>
      <c r="R39" s="233"/>
      <c r="S39" s="233"/>
      <c r="T39" s="233"/>
      <c r="U39" s="234"/>
      <c r="V39" s="232"/>
      <c r="W39" s="213"/>
    </row>
    <row r="40" spans="1:23">
      <c r="A40" s="9"/>
      <c r="B40" s="227">
        <f t="shared" si="1"/>
        <v>34</v>
      </c>
      <c r="C40" s="228"/>
      <c r="D40" s="228"/>
      <c r="E40" s="228"/>
      <c r="F40" s="229"/>
      <c r="G40" s="230"/>
      <c r="H40" s="229"/>
      <c r="I40" s="231"/>
      <c r="J40" s="228"/>
      <c r="K40" s="232"/>
      <c r="L40" s="233"/>
      <c r="M40" s="233"/>
      <c r="N40" s="233"/>
      <c r="O40" s="233"/>
      <c r="P40" s="233"/>
      <c r="Q40" s="233"/>
      <c r="R40" s="233"/>
      <c r="S40" s="233"/>
      <c r="T40" s="233"/>
      <c r="U40" s="234"/>
      <c r="V40" s="232"/>
      <c r="W40" s="213"/>
    </row>
    <row r="41" spans="1:23">
      <c r="A41" s="9"/>
      <c r="B41" s="227">
        <f t="shared" si="1"/>
        <v>35</v>
      </c>
      <c r="C41" s="228"/>
      <c r="D41" s="228"/>
      <c r="E41" s="228"/>
      <c r="F41" s="229"/>
      <c r="G41" s="230"/>
      <c r="H41" s="229"/>
      <c r="I41" s="231"/>
      <c r="J41" s="228"/>
      <c r="K41" s="232"/>
      <c r="L41" s="233"/>
      <c r="M41" s="233"/>
      <c r="N41" s="233"/>
      <c r="O41" s="233"/>
      <c r="P41" s="233"/>
      <c r="Q41" s="233"/>
      <c r="R41" s="233"/>
      <c r="S41" s="233"/>
      <c r="T41" s="233"/>
      <c r="U41" s="234"/>
      <c r="V41" s="232"/>
      <c r="W41" s="213"/>
    </row>
    <row r="42" spans="1:23">
      <c r="A42" s="9"/>
      <c r="B42" s="227">
        <f t="shared" si="1"/>
        <v>36</v>
      </c>
      <c r="C42" s="228"/>
      <c r="D42" s="228"/>
      <c r="E42" s="228"/>
      <c r="F42" s="229"/>
      <c r="G42" s="230"/>
      <c r="H42" s="229"/>
      <c r="I42" s="231"/>
      <c r="J42" s="228"/>
      <c r="K42" s="232"/>
      <c r="L42" s="233"/>
      <c r="M42" s="233"/>
      <c r="N42" s="233"/>
      <c r="O42" s="233"/>
      <c r="P42" s="233"/>
      <c r="Q42" s="233"/>
      <c r="R42" s="233"/>
      <c r="S42" s="233"/>
      <c r="T42" s="233"/>
      <c r="U42" s="234"/>
      <c r="V42" s="232"/>
      <c r="W42" s="213"/>
    </row>
    <row r="43" spans="1:23">
      <c r="A43" s="9"/>
      <c r="B43" s="227">
        <f t="shared" si="1"/>
        <v>37</v>
      </c>
      <c r="C43" s="228"/>
      <c r="D43" s="228"/>
      <c r="E43" s="228"/>
      <c r="F43" s="229"/>
      <c r="G43" s="230"/>
      <c r="H43" s="229"/>
      <c r="I43" s="231"/>
      <c r="J43" s="228"/>
      <c r="K43" s="232"/>
      <c r="L43" s="233"/>
      <c r="M43" s="233"/>
      <c r="N43" s="233"/>
      <c r="O43" s="233"/>
      <c r="P43" s="233"/>
      <c r="Q43" s="233"/>
      <c r="R43" s="233"/>
      <c r="S43" s="233"/>
      <c r="T43" s="233"/>
      <c r="U43" s="234"/>
      <c r="V43" s="232"/>
      <c r="W43" s="213"/>
    </row>
    <row r="44" spans="1:23">
      <c r="A44" s="9"/>
      <c r="B44" s="228" t="s">
        <v>243</v>
      </c>
      <c r="C44" s="228" t="s">
        <v>244</v>
      </c>
      <c r="D44" s="228"/>
      <c r="E44" s="228" t="s">
        <v>230</v>
      </c>
      <c r="F44" s="229"/>
      <c r="G44" s="230">
        <f t="shared" ref="G44:G105" si="2">T44^-1*J44/1000</f>
        <v>2.7777777777777779E-3</v>
      </c>
      <c r="H44" s="229"/>
      <c r="I44" s="231"/>
      <c r="J44" s="228">
        <v>2.5</v>
      </c>
      <c r="K44" s="232">
        <v>0.85</v>
      </c>
      <c r="L44" s="233">
        <v>7.4999999999999997E-2</v>
      </c>
      <c r="M44" s="233">
        <v>7.4999999999999997E-2</v>
      </c>
      <c r="N44" s="233">
        <v>0.90100000000000002</v>
      </c>
      <c r="O44" s="233">
        <v>8.1000000000000003E-2</v>
      </c>
      <c r="P44" s="233">
        <v>8.1000000000000003E-2</v>
      </c>
      <c r="Q44" s="233">
        <v>0</v>
      </c>
      <c r="R44" s="233">
        <v>0.84</v>
      </c>
      <c r="S44" s="233">
        <v>0.84</v>
      </c>
      <c r="T44" s="233">
        <v>0.9</v>
      </c>
      <c r="U44" s="234">
        <v>1</v>
      </c>
      <c r="V44" s="232" t="s">
        <v>231</v>
      </c>
      <c r="W44" s="213"/>
    </row>
    <row r="45" spans="1:23">
      <c r="A45" s="9"/>
      <c r="B45" s="228" t="s">
        <v>245</v>
      </c>
      <c r="C45" s="228" t="s">
        <v>246</v>
      </c>
      <c r="D45" s="228"/>
      <c r="E45" s="228" t="s">
        <v>230</v>
      </c>
      <c r="F45" s="229"/>
      <c r="G45" s="230">
        <f t="shared" si="2"/>
        <v>3.3333333333333335E-3</v>
      </c>
      <c r="H45" s="229"/>
      <c r="I45" s="231"/>
      <c r="J45" s="228">
        <v>3</v>
      </c>
      <c r="K45" s="232">
        <v>0.83699999999999997</v>
      </c>
      <c r="L45" s="233">
        <v>7.4999999999999997E-2</v>
      </c>
      <c r="M45" s="233">
        <v>7.4999999999999997E-2</v>
      </c>
      <c r="N45" s="233">
        <v>0.89800000000000002</v>
      </c>
      <c r="O45" s="233">
        <v>8.1000000000000003E-2</v>
      </c>
      <c r="P45" s="233">
        <v>8.1000000000000003E-2</v>
      </c>
      <c r="Q45" s="233">
        <v>0</v>
      </c>
      <c r="R45" s="233">
        <v>0.84</v>
      </c>
      <c r="S45" s="233">
        <v>0.84</v>
      </c>
      <c r="T45" s="233">
        <v>0.9</v>
      </c>
      <c r="U45" s="234">
        <v>1</v>
      </c>
      <c r="V45" s="232" t="s">
        <v>231</v>
      </c>
      <c r="W45" s="213"/>
    </row>
    <row r="46" spans="1:23">
      <c r="A46" s="9"/>
      <c r="B46" s="228" t="s">
        <v>247</v>
      </c>
      <c r="C46" s="228" t="s">
        <v>248</v>
      </c>
      <c r="D46" s="228"/>
      <c r="E46" s="228" t="s">
        <v>230</v>
      </c>
      <c r="F46" s="229"/>
      <c r="G46" s="230">
        <f t="shared" si="2"/>
        <v>6.6666666666666671E-3</v>
      </c>
      <c r="H46" s="229"/>
      <c r="I46" s="231"/>
      <c r="J46" s="228">
        <v>6</v>
      </c>
      <c r="K46" s="232">
        <v>0.77500000000000002</v>
      </c>
      <c r="L46" s="233">
        <v>7.0999999999999994E-2</v>
      </c>
      <c r="M46" s="233">
        <v>7.0999999999999994E-2</v>
      </c>
      <c r="N46" s="233">
        <v>0.88100000000000001</v>
      </c>
      <c r="O46" s="233">
        <v>0.08</v>
      </c>
      <c r="P46" s="233">
        <v>0.08</v>
      </c>
      <c r="Q46" s="233">
        <v>0</v>
      </c>
      <c r="R46" s="233">
        <v>0.84</v>
      </c>
      <c r="S46" s="233">
        <v>0.84</v>
      </c>
      <c r="T46" s="233">
        <v>0.9</v>
      </c>
      <c r="U46" s="234">
        <v>1</v>
      </c>
      <c r="V46" s="232" t="s">
        <v>231</v>
      </c>
      <c r="W46" s="213"/>
    </row>
    <row r="47" spans="1:23">
      <c r="A47" s="9"/>
      <c r="B47" s="228" t="s">
        <v>249</v>
      </c>
      <c r="C47" s="228" t="s">
        <v>250</v>
      </c>
      <c r="D47" s="228"/>
      <c r="E47" s="228" t="s">
        <v>230</v>
      </c>
      <c r="F47" s="229"/>
      <c r="G47" s="230">
        <f t="shared" si="2"/>
        <v>1.3333333333333334E-2</v>
      </c>
      <c r="H47" s="229"/>
      <c r="I47" s="231"/>
      <c r="J47" s="228">
        <v>12</v>
      </c>
      <c r="K47" s="232">
        <v>0.65300000000000002</v>
      </c>
      <c r="L47" s="233">
        <v>6.4000000000000001E-2</v>
      </c>
      <c r="M47" s="233">
        <v>6.4000000000000001E-2</v>
      </c>
      <c r="N47" s="233">
        <v>0.84099999999999997</v>
      </c>
      <c r="O47" s="233">
        <v>7.6999999999999999E-2</v>
      </c>
      <c r="P47" s="233">
        <v>7.6999999999999999E-2</v>
      </c>
      <c r="Q47" s="233">
        <v>0</v>
      </c>
      <c r="R47" s="233">
        <v>0.84</v>
      </c>
      <c r="S47" s="233">
        <v>0.84</v>
      </c>
      <c r="T47" s="233">
        <v>0.9</v>
      </c>
      <c r="U47" s="234">
        <v>1</v>
      </c>
      <c r="V47" s="232" t="s">
        <v>231</v>
      </c>
      <c r="W47" s="213"/>
    </row>
    <row r="48" spans="1:23">
      <c r="A48" s="9"/>
      <c r="B48" s="228" t="s">
        <v>251</v>
      </c>
      <c r="C48" s="228" t="s">
        <v>252</v>
      </c>
      <c r="D48" s="228"/>
      <c r="E48" s="228" t="s">
        <v>230</v>
      </c>
      <c r="F48" s="229"/>
      <c r="G48" s="230">
        <f t="shared" si="2"/>
        <v>3.3333333333333335E-3</v>
      </c>
      <c r="H48" s="229"/>
      <c r="I48" s="231"/>
      <c r="J48" s="228">
        <v>3</v>
      </c>
      <c r="K48" s="232">
        <v>0.64500000000000002</v>
      </c>
      <c r="L48" s="233">
        <v>6.2E-2</v>
      </c>
      <c r="M48" s="233">
        <v>6.2E-2</v>
      </c>
      <c r="N48" s="233">
        <v>0.68500000000000005</v>
      </c>
      <c r="O48" s="233">
        <v>6.5000000000000002E-2</v>
      </c>
      <c r="P48" s="233">
        <v>6.5000000000000002E-2</v>
      </c>
      <c r="Q48" s="233">
        <v>0</v>
      </c>
      <c r="R48" s="233">
        <v>0.84</v>
      </c>
      <c r="S48" s="233">
        <v>0.84</v>
      </c>
      <c r="T48" s="233">
        <v>0.9</v>
      </c>
      <c r="U48" s="234">
        <v>1</v>
      </c>
      <c r="V48" s="232" t="s">
        <v>231</v>
      </c>
      <c r="W48" s="213"/>
    </row>
    <row r="49" spans="1:23">
      <c r="A49" s="9"/>
      <c r="B49" s="228" t="s">
        <v>253</v>
      </c>
      <c r="C49" s="228" t="s">
        <v>254</v>
      </c>
      <c r="D49" s="228"/>
      <c r="E49" s="228" t="s">
        <v>230</v>
      </c>
      <c r="F49" s="229"/>
      <c r="G49" s="230">
        <f t="shared" si="2"/>
        <v>6.6666666666666671E-3</v>
      </c>
      <c r="H49" s="229"/>
      <c r="I49" s="231"/>
      <c r="J49" s="228">
        <v>6</v>
      </c>
      <c r="K49" s="232">
        <v>0.48199999999999998</v>
      </c>
      <c r="L49" s="233">
        <v>5.3999999999999999E-2</v>
      </c>
      <c r="M49" s="233">
        <v>5.3999999999999999E-2</v>
      </c>
      <c r="N49" s="233">
        <v>0.53400000000000003</v>
      </c>
      <c r="O49" s="233">
        <v>5.7000000000000002E-2</v>
      </c>
      <c r="P49" s="233">
        <v>5.7000000000000002E-2</v>
      </c>
      <c r="Q49" s="233">
        <v>0</v>
      </c>
      <c r="R49" s="233">
        <v>0.84</v>
      </c>
      <c r="S49" s="233">
        <v>0.84</v>
      </c>
      <c r="T49" s="233">
        <v>0.9</v>
      </c>
      <c r="U49" s="234">
        <v>1</v>
      </c>
      <c r="V49" s="232" t="s">
        <v>231</v>
      </c>
      <c r="W49" s="213"/>
    </row>
    <row r="50" spans="1:23">
      <c r="A50" s="9"/>
      <c r="B50" s="228" t="s">
        <v>255</v>
      </c>
      <c r="C50" s="228" t="s">
        <v>256</v>
      </c>
      <c r="D50" s="228"/>
      <c r="E50" s="228" t="s">
        <v>230</v>
      </c>
      <c r="F50" s="229"/>
      <c r="G50" s="230">
        <f t="shared" si="2"/>
        <v>1.1111111111111112E-2</v>
      </c>
      <c r="H50" s="229"/>
      <c r="I50" s="231"/>
      <c r="J50" s="228">
        <v>10</v>
      </c>
      <c r="K50" s="232">
        <v>0.32600000000000001</v>
      </c>
      <c r="L50" s="233">
        <v>4.8000000000000001E-2</v>
      </c>
      <c r="M50" s="233">
        <v>4.8000000000000001E-2</v>
      </c>
      <c r="N50" s="233">
        <v>0.379</v>
      </c>
      <c r="O50" s="233">
        <v>0.05</v>
      </c>
      <c r="P50" s="233">
        <v>0.05</v>
      </c>
      <c r="Q50" s="233">
        <v>0</v>
      </c>
      <c r="R50" s="233">
        <v>0.84</v>
      </c>
      <c r="S50" s="233">
        <v>0.84</v>
      </c>
      <c r="T50" s="233">
        <v>0.9</v>
      </c>
      <c r="U50" s="234">
        <v>1</v>
      </c>
      <c r="V50" s="232" t="s">
        <v>231</v>
      </c>
      <c r="W50" s="213"/>
    </row>
    <row r="51" spans="1:23">
      <c r="A51" s="9"/>
      <c r="B51" s="228" t="s">
        <v>257</v>
      </c>
      <c r="C51" s="228" t="s">
        <v>258</v>
      </c>
      <c r="D51" s="228"/>
      <c r="E51" s="228" t="s">
        <v>230</v>
      </c>
      <c r="F51" s="229"/>
      <c r="G51" s="230">
        <f t="shared" si="2"/>
        <v>3.3333333333333335E-3</v>
      </c>
      <c r="H51" s="229"/>
      <c r="I51" s="231"/>
      <c r="J51" s="228">
        <v>3</v>
      </c>
      <c r="K51" s="232">
        <v>0.626</v>
      </c>
      <c r="L51" s="233">
        <v>6.0999999999999999E-2</v>
      </c>
      <c r="M51" s="233">
        <v>6.0999999999999999E-2</v>
      </c>
      <c r="N51" s="233">
        <v>0.61099999999999999</v>
      </c>
      <c r="O51" s="233">
        <v>6.0999999999999999E-2</v>
      </c>
      <c r="P51" s="233">
        <v>6.0999999999999999E-2</v>
      </c>
      <c r="Q51" s="233">
        <v>0</v>
      </c>
      <c r="R51" s="233">
        <v>0.84</v>
      </c>
      <c r="S51" s="233">
        <v>0.84</v>
      </c>
      <c r="T51" s="233">
        <v>0.9</v>
      </c>
      <c r="U51" s="234">
        <v>1</v>
      </c>
      <c r="V51" s="232" t="s">
        <v>231</v>
      </c>
      <c r="W51" s="213"/>
    </row>
    <row r="52" spans="1:23">
      <c r="A52" s="9"/>
      <c r="B52" s="228" t="s">
        <v>259</v>
      </c>
      <c r="C52" s="228" t="s">
        <v>260</v>
      </c>
      <c r="D52" s="228"/>
      <c r="E52" s="228" t="s">
        <v>230</v>
      </c>
      <c r="F52" s="229"/>
      <c r="G52" s="230">
        <f t="shared" si="2"/>
        <v>6.6666666666666671E-3</v>
      </c>
      <c r="H52" s="229"/>
      <c r="I52" s="231"/>
      <c r="J52" s="228">
        <v>6</v>
      </c>
      <c r="K52" s="232">
        <v>0.45500000000000002</v>
      </c>
      <c r="L52" s="233">
        <v>5.2999999999999999E-2</v>
      </c>
      <c r="M52" s="233">
        <v>5.2999999999999999E-2</v>
      </c>
      <c r="N52" s="233">
        <v>0.43099999999999999</v>
      </c>
      <c r="O52" s="233">
        <v>5.1999999999999998E-2</v>
      </c>
      <c r="P52" s="233">
        <v>5.1999999999999998E-2</v>
      </c>
      <c r="Q52" s="233">
        <v>0</v>
      </c>
      <c r="R52" s="233">
        <v>0.84</v>
      </c>
      <c r="S52" s="233">
        <v>0.84</v>
      </c>
      <c r="T52" s="233">
        <v>0.9</v>
      </c>
      <c r="U52" s="234">
        <v>1</v>
      </c>
      <c r="V52" s="232" t="s">
        <v>231</v>
      </c>
      <c r="W52" s="213"/>
    </row>
    <row r="53" spans="1:23">
      <c r="A53" s="9"/>
      <c r="B53" s="228" t="s">
        <v>261</v>
      </c>
      <c r="C53" s="228" t="s">
        <v>262</v>
      </c>
      <c r="D53" s="228"/>
      <c r="E53" s="228" t="s">
        <v>230</v>
      </c>
      <c r="F53" s="229"/>
      <c r="G53" s="230">
        <f t="shared" si="2"/>
        <v>1.3333333333333334E-2</v>
      </c>
      <c r="H53" s="229"/>
      <c r="I53" s="231"/>
      <c r="J53" s="228">
        <v>12</v>
      </c>
      <c r="K53" s="232">
        <v>0.217</v>
      </c>
      <c r="L53" s="233">
        <v>4.3999999999999997E-2</v>
      </c>
      <c r="M53" s="233">
        <v>4.3999999999999997E-2</v>
      </c>
      <c r="N53" s="233">
        <v>0.187</v>
      </c>
      <c r="O53" s="233">
        <v>4.4999999999999998E-2</v>
      </c>
      <c r="P53" s="233">
        <v>4.4999999999999998E-2</v>
      </c>
      <c r="Q53" s="233">
        <v>0</v>
      </c>
      <c r="R53" s="233">
        <v>0.84</v>
      </c>
      <c r="S53" s="233">
        <v>0.84</v>
      </c>
      <c r="T53" s="233">
        <v>0.9</v>
      </c>
      <c r="U53" s="234">
        <v>1</v>
      </c>
      <c r="V53" s="232" t="s">
        <v>231</v>
      </c>
      <c r="W53" s="213"/>
    </row>
    <row r="54" spans="1:23">
      <c r="A54" s="9"/>
      <c r="B54" s="228" t="s">
        <v>263</v>
      </c>
      <c r="C54" s="228" t="s">
        <v>264</v>
      </c>
      <c r="D54" s="228"/>
      <c r="E54" s="228" t="s">
        <v>230</v>
      </c>
      <c r="F54" s="229"/>
      <c r="G54" s="230">
        <f t="shared" si="2"/>
        <v>3.3333333333333335E-3</v>
      </c>
      <c r="H54" s="229"/>
      <c r="I54" s="231"/>
      <c r="J54" s="228">
        <v>3</v>
      </c>
      <c r="K54" s="232">
        <v>0.63500000000000001</v>
      </c>
      <c r="L54" s="233">
        <v>6.3E-2</v>
      </c>
      <c r="M54" s="233">
        <v>6.3E-2</v>
      </c>
      <c r="N54" s="233">
        <v>0.82199999999999995</v>
      </c>
      <c r="O54" s="233">
        <v>7.4999999999999997E-2</v>
      </c>
      <c r="P54" s="233">
        <v>7.4999999999999997E-2</v>
      </c>
      <c r="Q54" s="233">
        <v>0</v>
      </c>
      <c r="R54" s="233">
        <v>0.84</v>
      </c>
      <c r="S54" s="233">
        <v>0.84</v>
      </c>
      <c r="T54" s="233">
        <v>0.9</v>
      </c>
      <c r="U54" s="234">
        <v>1</v>
      </c>
      <c r="V54" s="232" t="s">
        <v>231</v>
      </c>
      <c r="W54" s="213"/>
    </row>
    <row r="55" spans="1:23">
      <c r="A55" s="9"/>
      <c r="B55" s="228" t="s">
        <v>265</v>
      </c>
      <c r="C55" s="228" t="s">
        <v>266</v>
      </c>
      <c r="D55" s="228"/>
      <c r="E55" s="228" t="s">
        <v>230</v>
      </c>
      <c r="F55" s="229"/>
      <c r="G55" s="230">
        <f t="shared" si="2"/>
        <v>6.6666666666666671E-3</v>
      </c>
      <c r="H55" s="229"/>
      <c r="I55" s="231"/>
      <c r="J55" s="228">
        <v>6</v>
      </c>
      <c r="K55" s="232">
        <v>0.48699999999999999</v>
      </c>
      <c r="L55" s="233">
        <v>5.6000000000000001E-2</v>
      </c>
      <c r="M55" s="233">
        <v>5.6000000000000001E-2</v>
      </c>
      <c r="N55" s="233">
        <v>0.749</v>
      </c>
      <c r="O55" s="233">
        <v>7.0000000000000007E-2</v>
      </c>
      <c r="P55" s="233">
        <v>7.0000000000000007E-2</v>
      </c>
      <c r="Q55" s="233">
        <v>0</v>
      </c>
      <c r="R55" s="233">
        <v>0.84</v>
      </c>
      <c r="S55" s="233">
        <v>0.84</v>
      </c>
      <c r="T55" s="233">
        <v>0.9</v>
      </c>
      <c r="U55" s="234">
        <v>1</v>
      </c>
      <c r="V55" s="232" t="s">
        <v>231</v>
      </c>
      <c r="W55" s="213"/>
    </row>
    <row r="56" spans="1:23">
      <c r="A56" s="9"/>
      <c r="B56" s="228" t="s">
        <v>267</v>
      </c>
      <c r="C56" s="228" t="s">
        <v>268</v>
      </c>
      <c r="D56" s="228"/>
      <c r="E56" s="228" t="s">
        <v>230</v>
      </c>
      <c r="F56" s="229"/>
      <c r="G56" s="230">
        <f t="shared" si="2"/>
        <v>2.7777777777777779E-3</v>
      </c>
      <c r="H56" s="229"/>
      <c r="I56" s="231"/>
      <c r="J56" s="228">
        <v>2.5</v>
      </c>
      <c r="K56" s="232">
        <v>0.90400000000000003</v>
      </c>
      <c r="L56" s="233">
        <v>0.08</v>
      </c>
      <c r="M56" s="233">
        <v>0.08</v>
      </c>
      <c r="N56" s="233">
        <v>0.91400000000000003</v>
      </c>
      <c r="O56" s="233">
        <v>8.3000000000000004E-2</v>
      </c>
      <c r="P56" s="233">
        <v>8.3000000000000004E-2</v>
      </c>
      <c r="Q56" s="233">
        <v>0</v>
      </c>
      <c r="R56" s="233">
        <v>0.84</v>
      </c>
      <c r="S56" s="233">
        <v>0.84</v>
      </c>
      <c r="T56" s="233">
        <v>0.9</v>
      </c>
      <c r="U56" s="234">
        <v>1</v>
      </c>
      <c r="V56" s="232" t="s">
        <v>231</v>
      </c>
      <c r="W56" s="213"/>
    </row>
    <row r="57" spans="1:23">
      <c r="A57" s="9"/>
      <c r="B57" s="228" t="s">
        <v>269</v>
      </c>
      <c r="C57" s="228" t="s">
        <v>270</v>
      </c>
      <c r="D57" s="228"/>
      <c r="E57" s="228" t="s">
        <v>230</v>
      </c>
      <c r="F57" s="229"/>
      <c r="G57" s="230">
        <f t="shared" si="2"/>
        <v>3.3333333333333335E-3</v>
      </c>
      <c r="H57" s="229"/>
      <c r="I57" s="231"/>
      <c r="J57" s="228">
        <v>3</v>
      </c>
      <c r="K57" s="232">
        <v>0.89900000000000002</v>
      </c>
      <c r="L57" s="233">
        <v>7.9000000000000001E-2</v>
      </c>
      <c r="M57" s="233">
        <v>7.9000000000000001E-2</v>
      </c>
      <c r="N57" s="233">
        <v>0.91300000000000003</v>
      </c>
      <c r="O57" s="233">
        <v>8.2000000000000003E-2</v>
      </c>
      <c r="P57" s="233">
        <v>8.2000000000000003E-2</v>
      </c>
      <c r="Q57" s="233">
        <v>0</v>
      </c>
      <c r="R57" s="233">
        <v>0.84</v>
      </c>
      <c r="S57" s="233">
        <v>0.84</v>
      </c>
      <c r="T57" s="233">
        <v>0.9</v>
      </c>
      <c r="U57" s="234">
        <v>1</v>
      </c>
      <c r="V57" s="232" t="s">
        <v>231</v>
      </c>
      <c r="W57" s="213"/>
    </row>
    <row r="58" spans="1:23">
      <c r="A58" s="9"/>
      <c r="B58" s="228" t="s">
        <v>271</v>
      </c>
      <c r="C58" s="228" t="s">
        <v>272</v>
      </c>
      <c r="D58" s="228"/>
      <c r="E58" s="228" t="s">
        <v>230</v>
      </c>
      <c r="F58" s="229"/>
      <c r="G58" s="230">
        <f t="shared" si="2"/>
        <v>4.4444444444444444E-3</v>
      </c>
      <c r="H58" s="229"/>
      <c r="I58" s="231"/>
      <c r="J58" s="228">
        <v>4</v>
      </c>
      <c r="K58" s="232">
        <v>0.89400000000000002</v>
      </c>
      <c r="L58" s="233">
        <v>7.9000000000000001E-2</v>
      </c>
      <c r="M58" s="233">
        <v>7.9000000000000001E-2</v>
      </c>
      <c r="N58" s="233">
        <v>0.91100000000000003</v>
      </c>
      <c r="O58" s="233">
        <v>8.2000000000000003E-2</v>
      </c>
      <c r="P58" s="233">
        <v>8.2000000000000003E-2</v>
      </c>
      <c r="Q58" s="233">
        <v>0</v>
      </c>
      <c r="R58" s="233">
        <v>0.84</v>
      </c>
      <c r="S58" s="233">
        <v>0.84</v>
      </c>
      <c r="T58" s="233">
        <v>0.9</v>
      </c>
      <c r="U58" s="234">
        <v>1</v>
      </c>
      <c r="V58" s="232" t="s">
        <v>231</v>
      </c>
      <c r="W58" s="213"/>
    </row>
    <row r="59" spans="1:23">
      <c r="A59" s="9"/>
      <c r="B59" s="228" t="s">
        <v>273</v>
      </c>
      <c r="C59" s="228" t="s">
        <v>274</v>
      </c>
      <c r="D59" s="228"/>
      <c r="E59" s="228" t="s">
        <v>230</v>
      </c>
      <c r="F59" s="229"/>
      <c r="G59" s="230">
        <f t="shared" si="2"/>
        <v>5.5555555555555558E-3</v>
      </c>
      <c r="H59" s="229"/>
      <c r="I59" s="231"/>
      <c r="J59" s="228">
        <v>5</v>
      </c>
      <c r="K59" s="232">
        <v>0.88900000000000001</v>
      </c>
      <c r="L59" s="233">
        <v>7.9000000000000001E-2</v>
      </c>
      <c r="M59" s="233">
        <v>7.9000000000000001E-2</v>
      </c>
      <c r="N59" s="233">
        <v>0.91</v>
      </c>
      <c r="O59" s="233">
        <v>8.2000000000000003E-2</v>
      </c>
      <c r="P59" s="233">
        <v>8.2000000000000003E-2</v>
      </c>
      <c r="Q59" s="233">
        <v>0</v>
      </c>
      <c r="R59" s="233">
        <v>0.84</v>
      </c>
      <c r="S59" s="233">
        <v>0.84</v>
      </c>
      <c r="T59" s="233">
        <v>0.9</v>
      </c>
      <c r="U59" s="234">
        <v>1</v>
      </c>
      <c r="V59" s="232" t="s">
        <v>231</v>
      </c>
      <c r="W59" s="213"/>
    </row>
    <row r="60" spans="1:23">
      <c r="A60" s="9"/>
      <c r="B60" s="228" t="s">
        <v>275</v>
      </c>
      <c r="C60" s="228" t="s">
        <v>276</v>
      </c>
      <c r="D60" s="228"/>
      <c r="E60" s="228" t="s">
        <v>230</v>
      </c>
      <c r="F60" s="229"/>
      <c r="G60" s="230">
        <f t="shared" si="2"/>
        <v>6.6666666666666671E-3</v>
      </c>
      <c r="H60" s="229"/>
      <c r="I60" s="231"/>
      <c r="J60" s="228">
        <v>6</v>
      </c>
      <c r="K60" s="232">
        <v>0.48</v>
      </c>
      <c r="L60" s="233">
        <v>0.05</v>
      </c>
      <c r="M60" s="233">
        <v>0.05</v>
      </c>
      <c r="N60" s="233">
        <v>0.56999999999999995</v>
      </c>
      <c r="O60" s="233">
        <v>0.06</v>
      </c>
      <c r="P60" s="233">
        <v>0.06</v>
      </c>
      <c r="Q60" s="233">
        <v>0</v>
      </c>
      <c r="R60" s="233">
        <v>0.84</v>
      </c>
      <c r="S60" s="233">
        <v>0.84</v>
      </c>
      <c r="T60" s="233">
        <v>0.9</v>
      </c>
      <c r="U60" s="234">
        <v>1</v>
      </c>
      <c r="V60" s="232" t="s">
        <v>231</v>
      </c>
      <c r="W60" s="213"/>
    </row>
    <row r="61" spans="1:23">
      <c r="A61" s="9"/>
      <c r="B61" s="228" t="s">
        <v>277</v>
      </c>
      <c r="C61" s="228" t="s">
        <v>278</v>
      </c>
      <c r="D61" s="228"/>
      <c r="E61" s="228" t="s">
        <v>230</v>
      </c>
      <c r="F61" s="229"/>
      <c r="G61" s="230">
        <f t="shared" si="2"/>
        <v>6.6666666666666671E-3</v>
      </c>
      <c r="H61" s="229"/>
      <c r="I61" s="231"/>
      <c r="J61" s="228">
        <v>6</v>
      </c>
      <c r="K61" s="232">
        <v>6.6000000000000003E-2</v>
      </c>
      <c r="L61" s="233">
        <v>0.34100000000000003</v>
      </c>
      <c r="M61" s="233">
        <v>0.49299999999999999</v>
      </c>
      <c r="N61" s="233">
        <v>0.08</v>
      </c>
      <c r="O61" s="233">
        <v>0.41</v>
      </c>
      <c r="P61" s="233">
        <v>0.37</v>
      </c>
      <c r="Q61" s="233">
        <v>0</v>
      </c>
      <c r="R61" s="233">
        <v>0.84</v>
      </c>
      <c r="S61" s="233">
        <v>0.4</v>
      </c>
      <c r="T61" s="233">
        <v>0.9</v>
      </c>
      <c r="U61" s="234">
        <v>1</v>
      </c>
      <c r="V61" s="232" t="s">
        <v>231</v>
      </c>
      <c r="W61" s="213"/>
    </row>
    <row r="62" spans="1:23">
      <c r="A62" s="9"/>
      <c r="B62" s="228" t="s">
        <v>279</v>
      </c>
      <c r="C62" s="228" t="s">
        <v>280</v>
      </c>
      <c r="D62" s="228"/>
      <c r="E62" s="228" t="s">
        <v>230</v>
      </c>
      <c r="F62" s="229"/>
      <c r="G62" s="230">
        <f t="shared" si="2"/>
        <v>6.6666666666666671E-3</v>
      </c>
      <c r="H62" s="229"/>
      <c r="I62" s="231"/>
      <c r="J62" s="228">
        <v>6</v>
      </c>
      <c r="K62" s="232">
        <v>0.11</v>
      </c>
      <c r="L62" s="233">
        <v>0.27</v>
      </c>
      <c r="M62" s="233">
        <v>0.43</v>
      </c>
      <c r="N62" s="233">
        <v>0.14000000000000001</v>
      </c>
      <c r="O62" s="233">
        <v>0.31</v>
      </c>
      <c r="P62" s="233">
        <v>0.35</v>
      </c>
      <c r="Q62" s="233">
        <v>0</v>
      </c>
      <c r="R62" s="233">
        <v>0.84</v>
      </c>
      <c r="S62" s="233">
        <v>0.47</v>
      </c>
      <c r="T62" s="233">
        <v>0.9</v>
      </c>
      <c r="U62" s="234">
        <v>1</v>
      </c>
      <c r="V62" s="232" t="s">
        <v>231</v>
      </c>
      <c r="W62" s="213"/>
    </row>
    <row r="63" spans="1:23">
      <c r="A63" s="9"/>
      <c r="B63" s="228" t="s">
        <v>281</v>
      </c>
      <c r="C63" s="228" t="s">
        <v>282</v>
      </c>
      <c r="D63" s="228"/>
      <c r="E63" s="228" t="s">
        <v>230</v>
      </c>
      <c r="F63" s="229"/>
      <c r="G63" s="230">
        <f t="shared" si="2"/>
        <v>6.6666666666666671E-3</v>
      </c>
      <c r="H63" s="229"/>
      <c r="I63" s="231"/>
      <c r="J63" s="228">
        <v>6</v>
      </c>
      <c r="K63" s="232">
        <v>0.159</v>
      </c>
      <c r="L63" s="233">
        <v>0.22</v>
      </c>
      <c r="M63" s="233">
        <v>0.37</v>
      </c>
      <c r="N63" s="233">
        <v>0.2</v>
      </c>
      <c r="O63" s="233">
        <v>0.25</v>
      </c>
      <c r="P63" s="233">
        <v>0.32</v>
      </c>
      <c r="Q63" s="233">
        <v>0</v>
      </c>
      <c r="R63" s="233">
        <v>0.84</v>
      </c>
      <c r="S63" s="233">
        <v>0.56999999999999995</v>
      </c>
      <c r="T63" s="233">
        <v>0.9</v>
      </c>
      <c r="U63" s="234">
        <v>1</v>
      </c>
      <c r="V63" s="232" t="s">
        <v>231</v>
      </c>
      <c r="W63" s="213"/>
    </row>
    <row r="64" spans="1:23">
      <c r="A64" s="9"/>
      <c r="B64" s="228" t="s">
        <v>283</v>
      </c>
      <c r="C64" s="228" t="s">
        <v>284</v>
      </c>
      <c r="D64" s="228"/>
      <c r="E64" s="228" t="s">
        <v>230</v>
      </c>
      <c r="F64" s="229"/>
      <c r="G64" s="230">
        <f t="shared" si="2"/>
        <v>6.6666666666666671E-3</v>
      </c>
      <c r="H64" s="229"/>
      <c r="I64" s="231"/>
      <c r="J64" s="228">
        <v>6</v>
      </c>
      <c r="K64" s="232">
        <v>0.04</v>
      </c>
      <c r="L64" s="233">
        <v>0.15</v>
      </c>
      <c r="M64" s="233">
        <v>0.47</v>
      </c>
      <c r="N64" s="233">
        <v>0.05</v>
      </c>
      <c r="O64" s="233">
        <v>0.17</v>
      </c>
      <c r="P64" s="233">
        <v>0.37</v>
      </c>
      <c r="Q64" s="233">
        <v>0</v>
      </c>
      <c r="R64" s="233">
        <v>0.84</v>
      </c>
      <c r="S64" s="233">
        <v>0.41</v>
      </c>
      <c r="T64" s="233">
        <v>0.9</v>
      </c>
      <c r="U64" s="234">
        <v>1</v>
      </c>
      <c r="V64" s="232" t="s">
        <v>231</v>
      </c>
      <c r="W64" s="213"/>
    </row>
    <row r="65" spans="1:23">
      <c r="A65" s="9"/>
      <c r="B65" s="228" t="s">
        <v>285</v>
      </c>
      <c r="C65" s="228" t="s">
        <v>286</v>
      </c>
      <c r="D65" s="228"/>
      <c r="E65" s="228" t="s">
        <v>230</v>
      </c>
      <c r="F65" s="229"/>
      <c r="G65" s="230">
        <f t="shared" si="2"/>
        <v>6.6666666666666671E-3</v>
      </c>
      <c r="H65" s="229"/>
      <c r="I65" s="231"/>
      <c r="J65" s="228">
        <v>6</v>
      </c>
      <c r="K65" s="232">
        <v>0.06</v>
      </c>
      <c r="L65" s="233">
        <v>0.13</v>
      </c>
      <c r="M65" s="233">
        <v>0.42</v>
      </c>
      <c r="N65" s="233">
        <v>0.09</v>
      </c>
      <c r="O65" s="233">
        <v>0.14000000000000001</v>
      </c>
      <c r="P65" s="233">
        <v>0.35</v>
      </c>
      <c r="Q65" s="233">
        <v>0</v>
      </c>
      <c r="R65" s="233">
        <v>0.84</v>
      </c>
      <c r="S65" s="233">
        <v>0.47</v>
      </c>
      <c r="T65" s="233">
        <v>0.9</v>
      </c>
      <c r="U65" s="234">
        <v>1</v>
      </c>
      <c r="V65" s="232" t="s">
        <v>231</v>
      </c>
      <c r="W65" s="213"/>
    </row>
    <row r="66" spans="1:23">
      <c r="A66" s="9"/>
      <c r="B66" s="228" t="s">
        <v>287</v>
      </c>
      <c r="C66" s="228" t="s">
        <v>288</v>
      </c>
      <c r="D66" s="228"/>
      <c r="E66" s="228" t="s">
        <v>230</v>
      </c>
      <c r="F66" s="229"/>
      <c r="G66" s="230">
        <f t="shared" si="2"/>
        <v>6.6666666666666671E-3</v>
      </c>
      <c r="H66" s="229"/>
      <c r="I66" s="231"/>
      <c r="J66" s="228">
        <v>6</v>
      </c>
      <c r="K66" s="232">
        <v>0.1</v>
      </c>
      <c r="L66" s="233">
        <v>0.11</v>
      </c>
      <c r="M66" s="233">
        <v>0.38</v>
      </c>
      <c r="N66" s="233">
        <v>0.1</v>
      </c>
      <c r="O66" s="233">
        <v>0.11</v>
      </c>
      <c r="P66" s="233">
        <v>0.32</v>
      </c>
      <c r="Q66" s="233">
        <v>0</v>
      </c>
      <c r="R66" s="233">
        <v>0.84</v>
      </c>
      <c r="S66" s="233">
        <v>0.53</v>
      </c>
      <c r="T66" s="233">
        <v>0.9</v>
      </c>
      <c r="U66" s="234">
        <v>1</v>
      </c>
      <c r="V66" s="232" t="s">
        <v>231</v>
      </c>
      <c r="W66" s="213"/>
    </row>
    <row r="67" spans="1:23">
      <c r="A67" s="9"/>
      <c r="B67" s="228" t="s">
        <v>289</v>
      </c>
      <c r="C67" s="228" t="s">
        <v>290</v>
      </c>
      <c r="D67" s="228"/>
      <c r="E67" s="228" t="s">
        <v>230</v>
      </c>
      <c r="F67" s="229"/>
      <c r="G67" s="230">
        <f t="shared" si="2"/>
        <v>6.6666666666666671E-3</v>
      </c>
      <c r="H67" s="229"/>
      <c r="I67" s="231"/>
      <c r="J67" s="228">
        <v>6</v>
      </c>
      <c r="K67" s="232">
        <v>0.15</v>
      </c>
      <c r="L67" s="233">
        <v>0.22</v>
      </c>
      <c r="M67" s="233">
        <v>0.38</v>
      </c>
      <c r="N67" s="233">
        <v>0.2</v>
      </c>
      <c r="O67" s="233">
        <v>0.23</v>
      </c>
      <c r="P67" s="233">
        <v>0.33</v>
      </c>
      <c r="Q67" s="233">
        <v>0</v>
      </c>
      <c r="R67" s="233">
        <v>0.84</v>
      </c>
      <c r="S67" s="233">
        <v>0.57999999999999996</v>
      </c>
      <c r="T67" s="233">
        <v>0.9</v>
      </c>
      <c r="U67" s="234">
        <v>1</v>
      </c>
      <c r="V67" s="232" t="s">
        <v>231</v>
      </c>
      <c r="W67" s="213"/>
    </row>
    <row r="68" spans="1:23">
      <c r="A68" s="9"/>
      <c r="B68" s="228" t="s">
        <v>291</v>
      </c>
      <c r="C68" s="228" t="s">
        <v>292</v>
      </c>
      <c r="D68" s="228"/>
      <c r="E68" s="228" t="s">
        <v>230</v>
      </c>
      <c r="F68" s="229"/>
      <c r="G68" s="230">
        <f t="shared" si="2"/>
        <v>6.6666666666666671E-3</v>
      </c>
      <c r="H68" s="229"/>
      <c r="I68" s="231"/>
      <c r="J68" s="228">
        <v>6</v>
      </c>
      <c r="K68" s="232">
        <v>0.24</v>
      </c>
      <c r="L68" s="233">
        <v>0.16</v>
      </c>
      <c r="M68" s="233">
        <v>0.32</v>
      </c>
      <c r="N68" s="233">
        <v>0.3</v>
      </c>
      <c r="O68" s="233">
        <v>0.16</v>
      </c>
      <c r="P68" s="233">
        <v>0.28999999999999998</v>
      </c>
      <c r="Q68" s="233">
        <v>0</v>
      </c>
      <c r="R68" s="233">
        <v>0.84</v>
      </c>
      <c r="S68" s="233">
        <v>0.6</v>
      </c>
      <c r="T68" s="233">
        <v>0.9</v>
      </c>
      <c r="U68" s="234">
        <v>1</v>
      </c>
      <c r="V68" s="232" t="s">
        <v>231</v>
      </c>
      <c r="W68" s="213"/>
    </row>
    <row r="69" spans="1:23">
      <c r="A69" s="9"/>
      <c r="B69" s="228" t="s">
        <v>293</v>
      </c>
      <c r="C69" s="228" t="s">
        <v>294</v>
      </c>
      <c r="D69" s="228"/>
      <c r="E69" s="228" t="s">
        <v>230</v>
      </c>
      <c r="F69" s="229"/>
      <c r="G69" s="230">
        <f t="shared" si="2"/>
        <v>6.6666666666666671E-3</v>
      </c>
      <c r="H69" s="229"/>
      <c r="I69" s="231"/>
      <c r="J69" s="228">
        <v>6</v>
      </c>
      <c r="K69" s="232">
        <v>0.04</v>
      </c>
      <c r="L69" s="233">
        <v>0.13</v>
      </c>
      <c r="M69" s="233">
        <v>0.42</v>
      </c>
      <c r="N69" s="233">
        <v>0.05</v>
      </c>
      <c r="O69" s="233">
        <v>0.09</v>
      </c>
      <c r="P69" s="233">
        <v>0.28000000000000003</v>
      </c>
      <c r="Q69" s="233">
        <v>0</v>
      </c>
      <c r="R69" s="233">
        <v>0.84</v>
      </c>
      <c r="S69" s="233">
        <v>0.41</v>
      </c>
      <c r="T69" s="233">
        <v>0.9</v>
      </c>
      <c r="U69" s="234">
        <v>1</v>
      </c>
      <c r="V69" s="232" t="s">
        <v>231</v>
      </c>
      <c r="W69" s="213"/>
    </row>
    <row r="70" spans="1:23">
      <c r="A70" s="9"/>
      <c r="B70" s="228" t="s">
        <v>295</v>
      </c>
      <c r="C70" s="228" t="s">
        <v>296</v>
      </c>
      <c r="D70" s="228"/>
      <c r="E70" s="228" t="s">
        <v>230</v>
      </c>
      <c r="F70" s="229"/>
      <c r="G70" s="230">
        <f t="shared" si="2"/>
        <v>6.6666666666666671E-3</v>
      </c>
      <c r="H70" s="229"/>
      <c r="I70" s="231"/>
      <c r="J70" s="228">
        <v>6</v>
      </c>
      <c r="K70" s="232">
        <v>0.1</v>
      </c>
      <c r="L70" s="233">
        <v>0.11</v>
      </c>
      <c r="M70" s="233">
        <v>0.41</v>
      </c>
      <c r="N70" s="233">
        <v>0.13</v>
      </c>
      <c r="O70" s="233">
        <v>0.1</v>
      </c>
      <c r="P70" s="233">
        <v>0.32</v>
      </c>
      <c r="Q70" s="233">
        <v>0</v>
      </c>
      <c r="R70" s="233">
        <v>0.84</v>
      </c>
      <c r="S70" s="233">
        <v>0.45</v>
      </c>
      <c r="T70" s="233">
        <v>0.9</v>
      </c>
      <c r="U70" s="234">
        <v>1</v>
      </c>
      <c r="V70" s="232" t="s">
        <v>231</v>
      </c>
      <c r="W70" s="213"/>
    </row>
    <row r="71" spans="1:23">
      <c r="A71" s="9"/>
      <c r="B71" s="228" t="s">
        <v>297</v>
      </c>
      <c r="C71" s="228" t="s">
        <v>298</v>
      </c>
      <c r="D71" s="228"/>
      <c r="E71" s="228" t="s">
        <v>230</v>
      </c>
      <c r="F71" s="229"/>
      <c r="G71" s="230">
        <f t="shared" si="2"/>
        <v>6.6666666666666671E-3</v>
      </c>
      <c r="H71" s="229"/>
      <c r="I71" s="231"/>
      <c r="J71" s="228">
        <v>6</v>
      </c>
      <c r="K71" s="232">
        <v>0.15</v>
      </c>
      <c r="L71" s="233">
        <v>0.09</v>
      </c>
      <c r="M71" s="233">
        <v>0.33</v>
      </c>
      <c r="N71" s="233">
        <v>0.18</v>
      </c>
      <c r="O71" s="233">
        <v>0.08</v>
      </c>
      <c r="P71" s="233">
        <v>0.28000000000000003</v>
      </c>
      <c r="Q71" s="233">
        <v>0</v>
      </c>
      <c r="R71" s="233">
        <v>0.84</v>
      </c>
      <c r="S71" s="233">
        <v>0.6</v>
      </c>
      <c r="T71" s="233">
        <v>0.9</v>
      </c>
      <c r="U71" s="234">
        <v>1</v>
      </c>
      <c r="V71" s="232" t="s">
        <v>231</v>
      </c>
      <c r="W71" s="213"/>
    </row>
    <row r="72" spans="1:23">
      <c r="A72" s="9"/>
      <c r="B72" s="228" t="s">
        <v>299</v>
      </c>
      <c r="C72" s="228" t="s">
        <v>300</v>
      </c>
      <c r="D72" s="228"/>
      <c r="E72" s="228" t="s">
        <v>230</v>
      </c>
      <c r="F72" s="229"/>
      <c r="G72" s="230">
        <f t="shared" si="2"/>
        <v>6.6666666666666671E-3</v>
      </c>
      <c r="H72" s="229"/>
      <c r="I72" s="231"/>
      <c r="J72" s="228">
        <v>6</v>
      </c>
      <c r="K72" s="232">
        <v>0.11</v>
      </c>
      <c r="L72" s="233">
        <v>0.25</v>
      </c>
      <c r="M72" s="233">
        <v>0.49</v>
      </c>
      <c r="N72" s="233">
        <v>0.13</v>
      </c>
      <c r="O72" s="233">
        <v>0.28000000000000003</v>
      </c>
      <c r="P72" s="233">
        <v>0.42</v>
      </c>
      <c r="Q72" s="233">
        <v>0</v>
      </c>
      <c r="R72" s="233">
        <v>0.84</v>
      </c>
      <c r="S72" s="233">
        <v>0.43</v>
      </c>
      <c r="T72" s="233">
        <v>0.9</v>
      </c>
      <c r="U72" s="234">
        <v>1</v>
      </c>
      <c r="V72" s="232" t="s">
        <v>231</v>
      </c>
      <c r="W72" s="213"/>
    </row>
    <row r="73" spans="1:23">
      <c r="A73" s="9"/>
      <c r="B73" s="228" t="s">
        <v>301</v>
      </c>
      <c r="C73" s="228" t="s">
        <v>302</v>
      </c>
      <c r="D73" s="228"/>
      <c r="E73" s="228" t="s">
        <v>230</v>
      </c>
      <c r="F73" s="229"/>
      <c r="G73" s="230">
        <f t="shared" si="2"/>
        <v>6.6666666666666671E-3</v>
      </c>
      <c r="H73" s="229"/>
      <c r="I73" s="231"/>
      <c r="J73" s="228">
        <v>6</v>
      </c>
      <c r="K73" s="232">
        <v>0.17</v>
      </c>
      <c r="L73" s="233">
        <v>0.2</v>
      </c>
      <c r="M73" s="233">
        <v>0.42</v>
      </c>
      <c r="N73" s="233">
        <v>0.19</v>
      </c>
      <c r="O73" s="233">
        <v>0.21</v>
      </c>
      <c r="P73" s="233">
        <v>0.38</v>
      </c>
      <c r="Q73" s="233">
        <v>0</v>
      </c>
      <c r="R73" s="233">
        <v>0.84</v>
      </c>
      <c r="S73" s="233">
        <v>0.51</v>
      </c>
      <c r="T73" s="233">
        <v>0.9</v>
      </c>
      <c r="U73" s="234">
        <v>1</v>
      </c>
      <c r="V73" s="232" t="s">
        <v>231</v>
      </c>
      <c r="W73" s="213"/>
    </row>
    <row r="74" spans="1:23">
      <c r="A74" s="9"/>
      <c r="B74" s="228" t="s">
        <v>303</v>
      </c>
      <c r="C74" s="228" t="s">
        <v>304</v>
      </c>
      <c r="D74" s="228"/>
      <c r="E74" s="228" t="s">
        <v>230</v>
      </c>
      <c r="F74" s="229"/>
      <c r="G74" s="230">
        <f t="shared" si="2"/>
        <v>6.6666666666666671E-3</v>
      </c>
      <c r="H74" s="229"/>
      <c r="I74" s="231"/>
      <c r="J74" s="228">
        <v>6</v>
      </c>
      <c r="K74" s="232">
        <v>0.2</v>
      </c>
      <c r="L74" s="233">
        <v>0.16</v>
      </c>
      <c r="M74" s="233">
        <v>0.39</v>
      </c>
      <c r="N74" s="233">
        <v>0.22</v>
      </c>
      <c r="O74" s="233">
        <v>0.17</v>
      </c>
      <c r="P74" s="233">
        <v>0.35</v>
      </c>
      <c r="Q74" s="233">
        <v>0</v>
      </c>
      <c r="R74" s="233">
        <v>0.84</v>
      </c>
      <c r="S74" s="233">
        <v>0.55000000000000004</v>
      </c>
      <c r="T74" s="233">
        <v>0.9</v>
      </c>
      <c r="U74" s="234">
        <v>1</v>
      </c>
      <c r="V74" s="232" t="s">
        <v>231</v>
      </c>
      <c r="W74" s="213"/>
    </row>
    <row r="75" spans="1:23">
      <c r="A75" s="9"/>
      <c r="B75" s="228" t="s">
        <v>305</v>
      </c>
      <c r="C75" s="228" t="s">
        <v>306</v>
      </c>
      <c r="D75" s="228"/>
      <c r="E75" s="228" t="s">
        <v>230</v>
      </c>
      <c r="F75" s="229"/>
      <c r="G75" s="230">
        <f t="shared" si="2"/>
        <v>6.6666666666666671E-3</v>
      </c>
      <c r="H75" s="229"/>
      <c r="I75" s="231"/>
      <c r="J75" s="228">
        <v>6</v>
      </c>
      <c r="K75" s="232">
        <v>7.0000000000000007E-2</v>
      </c>
      <c r="L75" s="233">
        <v>0.13</v>
      </c>
      <c r="M75" s="233">
        <v>0.49</v>
      </c>
      <c r="N75" s="233">
        <v>0.08</v>
      </c>
      <c r="O75" s="233">
        <v>0.13</v>
      </c>
      <c r="P75" s="233">
        <v>0.42</v>
      </c>
      <c r="Q75" s="233">
        <v>0</v>
      </c>
      <c r="R75" s="233">
        <v>0.84</v>
      </c>
      <c r="S75" s="233">
        <v>0.43</v>
      </c>
      <c r="T75" s="233">
        <v>0.9</v>
      </c>
      <c r="U75" s="234">
        <v>1</v>
      </c>
      <c r="V75" s="232" t="s">
        <v>231</v>
      </c>
      <c r="W75" s="213"/>
    </row>
    <row r="76" spans="1:23">
      <c r="A76" s="9"/>
      <c r="B76" s="228" t="s">
        <v>307</v>
      </c>
      <c r="C76" s="228" t="s">
        <v>308</v>
      </c>
      <c r="D76" s="228"/>
      <c r="E76" s="228" t="s">
        <v>230</v>
      </c>
      <c r="F76" s="229"/>
      <c r="G76" s="230">
        <f t="shared" si="2"/>
        <v>6.6666666666666671E-3</v>
      </c>
      <c r="H76" s="229"/>
      <c r="I76" s="231"/>
      <c r="J76" s="228">
        <v>6</v>
      </c>
      <c r="K76" s="232">
        <v>0.1</v>
      </c>
      <c r="L76" s="233">
        <v>0.1</v>
      </c>
      <c r="M76" s="233">
        <v>0.42</v>
      </c>
      <c r="N76" s="233">
        <v>0.11</v>
      </c>
      <c r="O76" s="233">
        <v>0.1</v>
      </c>
      <c r="P76" s="233">
        <v>0.38</v>
      </c>
      <c r="Q76" s="233">
        <v>0</v>
      </c>
      <c r="R76" s="233">
        <v>0.84</v>
      </c>
      <c r="S76" s="233">
        <v>0.51</v>
      </c>
      <c r="T76" s="233">
        <v>0.9</v>
      </c>
      <c r="U76" s="234">
        <v>1</v>
      </c>
      <c r="V76" s="232" t="s">
        <v>231</v>
      </c>
      <c r="W76" s="213"/>
    </row>
    <row r="77" spans="1:23">
      <c r="A77" s="9"/>
      <c r="B77" s="228" t="s">
        <v>309</v>
      </c>
      <c r="C77" s="228" t="s">
        <v>310</v>
      </c>
      <c r="D77" s="228"/>
      <c r="E77" s="228" t="s">
        <v>230</v>
      </c>
      <c r="F77" s="229"/>
      <c r="G77" s="230">
        <f t="shared" si="2"/>
        <v>6.6666666666666671E-3</v>
      </c>
      <c r="H77" s="229"/>
      <c r="I77" s="231"/>
      <c r="J77" s="228">
        <v>6</v>
      </c>
      <c r="K77" s="232">
        <v>0.12</v>
      </c>
      <c r="L77" s="233">
        <v>0.09</v>
      </c>
      <c r="M77" s="233">
        <v>0.39</v>
      </c>
      <c r="N77" s="233">
        <v>0.13</v>
      </c>
      <c r="O77" s="233">
        <v>0.09</v>
      </c>
      <c r="P77" s="233">
        <v>0.35</v>
      </c>
      <c r="Q77" s="233">
        <v>0</v>
      </c>
      <c r="R77" s="233">
        <v>0.84</v>
      </c>
      <c r="S77" s="233">
        <v>0.55000000000000004</v>
      </c>
      <c r="T77" s="233">
        <v>0.9</v>
      </c>
      <c r="U77" s="234">
        <v>1</v>
      </c>
      <c r="V77" s="232" t="s">
        <v>231</v>
      </c>
      <c r="W77" s="213"/>
    </row>
    <row r="78" spans="1:23">
      <c r="A78" s="9"/>
      <c r="B78" s="228" t="s">
        <v>311</v>
      </c>
      <c r="C78" s="228" t="s">
        <v>312</v>
      </c>
      <c r="D78" s="228"/>
      <c r="E78" s="228" t="s">
        <v>230</v>
      </c>
      <c r="F78" s="229"/>
      <c r="G78" s="230">
        <f t="shared" si="2"/>
        <v>6.6666666666666671E-3</v>
      </c>
      <c r="H78" s="229"/>
      <c r="I78" s="231"/>
      <c r="J78" s="228">
        <v>6</v>
      </c>
      <c r="K78" s="232">
        <v>0.42899999999999999</v>
      </c>
      <c r="L78" s="233">
        <v>0.308</v>
      </c>
      <c r="M78" s="233">
        <v>0.379</v>
      </c>
      <c r="N78" s="233">
        <v>0.33400000000000002</v>
      </c>
      <c r="O78" s="233">
        <v>0.45300000000000001</v>
      </c>
      <c r="P78" s="233">
        <v>0.505</v>
      </c>
      <c r="Q78" s="233">
        <v>0</v>
      </c>
      <c r="R78" s="233">
        <v>0.84</v>
      </c>
      <c r="S78" s="233">
        <v>0.82</v>
      </c>
      <c r="T78" s="233">
        <v>0.9</v>
      </c>
      <c r="U78" s="234">
        <v>1</v>
      </c>
      <c r="V78" s="232" t="s">
        <v>231</v>
      </c>
      <c r="W78" s="213"/>
    </row>
    <row r="79" spans="1:23">
      <c r="A79" s="9"/>
      <c r="B79" s="228" t="s">
        <v>313</v>
      </c>
      <c r="C79" s="228" t="s">
        <v>314</v>
      </c>
      <c r="D79" s="228"/>
      <c r="E79" s="228" t="s">
        <v>230</v>
      </c>
      <c r="F79" s="229"/>
      <c r="G79" s="230">
        <f t="shared" si="2"/>
        <v>6.6666666666666671E-3</v>
      </c>
      <c r="H79" s="229"/>
      <c r="I79" s="231"/>
      <c r="J79" s="228">
        <v>6</v>
      </c>
      <c r="K79" s="232">
        <v>0.3</v>
      </c>
      <c r="L79" s="233">
        <v>0.14000000000000001</v>
      </c>
      <c r="M79" s="233">
        <v>0.36</v>
      </c>
      <c r="N79" s="233">
        <v>0.25</v>
      </c>
      <c r="O79" s="233">
        <v>0.18</v>
      </c>
      <c r="P79" s="233">
        <v>0.45</v>
      </c>
      <c r="Q79" s="233">
        <v>0</v>
      </c>
      <c r="R79" s="233">
        <v>0.84</v>
      </c>
      <c r="S79" s="233">
        <v>0.82</v>
      </c>
      <c r="T79" s="233">
        <v>0.9</v>
      </c>
      <c r="U79" s="234">
        <v>1</v>
      </c>
      <c r="V79" s="232" t="s">
        <v>231</v>
      </c>
      <c r="W79" s="213"/>
    </row>
    <row r="80" spans="1:23">
      <c r="A80" s="9"/>
      <c r="B80" s="228" t="s">
        <v>315</v>
      </c>
      <c r="C80" s="228" t="s">
        <v>316</v>
      </c>
      <c r="D80" s="228"/>
      <c r="E80" s="228" t="s">
        <v>230</v>
      </c>
      <c r="F80" s="229"/>
      <c r="G80" s="230">
        <f t="shared" si="2"/>
        <v>3.3333333333333335E-3</v>
      </c>
      <c r="H80" s="229"/>
      <c r="I80" s="231"/>
      <c r="J80" s="228">
        <v>3</v>
      </c>
      <c r="K80" s="232">
        <v>0.75</v>
      </c>
      <c r="L80" s="233">
        <v>0.1</v>
      </c>
      <c r="M80" s="233">
        <v>0.1</v>
      </c>
      <c r="N80" s="233">
        <v>0.85</v>
      </c>
      <c r="O80" s="233">
        <v>0.12</v>
      </c>
      <c r="P80" s="233">
        <v>0.12</v>
      </c>
      <c r="Q80" s="233">
        <v>0</v>
      </c>
      <c r="R80" s="233">
        <v>0.84</v>
      </c>
      <c r="S80" s="233">
        <v>0.4</v>
      </c>
      <c r="T80" s="233">
        <v>0.9</v>
      </c>
      <c r="U80" s="234">
        <v>1</v>
      </c>
      <c r="V80" s="232" t="s">
        <v>231</v>
      </c>
      <c r="W80" s="213"/>
    </row>
    <row r="81" spans="1:23">
      <c r="A81" s="9"/>
      <c r="B81" s="228" t="s">
        <v>317</v>
      </c>
      <c r="C81" s="228" t="s">
        <v>318</v>
      </c>
      <c r="D81" s="228"/>
      <c r="E81" s="228" t="s">
        <v>230</v>
      </c>
      <c r="F81" s="229"/>
      <c r="G81" s="230">
        <f t="shared" si="2"/>
        <v>3.3333333333333335E-3</v>
      </c>
      <c r="H81" s="229"/>
      <c r="I81" s="231"/>
      <c r="J81" s="228">
        <v>3</v>
      </c>
      <c r="K81" s="232">
        <v>0.74</v>
      </c>
      <c r="L81" s="233">
        <v>0.09</v>
      </c>
      <c r="M81" s="233">
        <v>0.1</v>
      </c>
      <c r="N81" s="233">
        <v>0.82</v>
      </c>
      <c r="O81" s="233">
        <v>0.11</v>
      </c>
      <c r="P81" s="233">
        <v>0.12</v>
      </c>
      <c r="Q81" s="233">
        <v>0</v>
      </c>
      <c r="R81" s="233">
        <v>0.84</v>
      </c>
      <c r="S81" s="233">
        <v>0.2</v>
      </c>
      <c r="T81" s="233">
        <v>0.9</v>
      </c>
      <c r="U81" s="234">
        <v>1</v>
      </c>
      <c r="V81" s="232" t="s">
        <v>231</v>
      </c>
      <c r="W81" s="213"/>
    </row>
    <row r="82" spans="1:23">
      <c r="A82" s="9"/>
      <c r="B82" s="228" t="s">
        <v>319</v>
      </c>
      <c r="C82" s="228" t="s">
        <v>320</v>
      </c>
      <c r="D82" s="228"/>
      <c r="E82" s="228" t="s">
        <v>230</v>
      </c>
      <c r="F82" s="229"/>
      <c r="G82" s="230">
        <f t="shared" si="2"/>
        <v>6.6666666666666671E-3</v>
      </c>
      <c r="H82" s="229"/>
      <c r="I82" s="231"/>
      <c r="J82" s="228">
        <v>6</v>
      </c>
      <c r="K82" s="232">
        <v>0.68</v>
      </c>
      <c r="L82" s="233">
        <v>0.09</v>
      </c>
      <c r="M82" s="233">
        <v>0.1</v>
      </c>
      <c r="N82" s="233">
        <v>0.81</v>
      </c>
      <c r="O82" s="233">
        <v>0.11</v>
      </c>
      <c r="P82" s="233">
        <v>0.12</v>
      </c>
      <c r="Q82" s="233">
        <v>0</v>
      </c>
      <c r="R82" s="233">
        <v>0.84</v>
      </c>
      <c r="S82" s="233">
        <v>0.2</v>
      </c>
      <c r="T82" s="233">
        <v>0.9</v>
      </c>
      <c r="U82" s="234">
        <v>1</v>
      </c>
      <c r="V82" s="232" t="s">
        <v>231</v>
      </c>
      <c r="W82" s="213"/>
    </row>
    <row r="83" spans="1:23">
      <c r="A83" s="9"/>
      <c r="B83" s="228" t="s">
        <v>321</v>
      </c>
      <c r="C83" s="228" t="s">
        <v>322</v>
      </c>
      <c r="D83" s="228"/>
      <c r="E83" s="228" t="s">
        <v>230</v>
      </c>
      <c r="F83" s="229"/>
      <c r="G83" s="230">
        <f t="shared" si="2"/>
        <v>3.3333333333333335E-3</v>
      </c>
      <c r="H83" s="229"/>
      <c r="I83" s="231"/>
      <c r="J83" s="228">
        <v>3</v>
      </c>
      <c r="K83" s="232">
        <v>0.63</v>
      </c>
      <c r="L83" s="233">
        <v>0.19</v>
      </c>
      <c r="M83" s="233">
        <v>0.22</v>
      </c>
      <c r="N83" s="233">
        <v>0.85</v>
      </c>
      <c r="O83" s="233">
        <v>5.6000000000000001E-2</v>
      </c>
      <c r="P83" s="233">
        <v>7.9000000000000001E-2</v>
      </c>
      <c r="Q83" s="233">
        <v>0</v>
      </c>
      <c r="R83" s="233">
        <v>0.84</v>
      </c>
      <c r="S83" s="233">
        <v>0.1</v>
      </c>
      <c r="T83" s="233">
        <v>0.9</v>
      </c>
      <c r="U83" s="234">
        <v>1</v>
      </c>
      <c r="V83" s="232" t="s">
        <v>231</v>
      </c>
      <c r="W83" s="213"/>
    </row>
    <row r="84" spans="1:23">
      <c r="A84" s="9"/>
      <c r="B84" s="228" t="s">
        <v>323</v>
      </c>
      <c r="C84" s="228" t="s">
        <v>324</v>
      </c>
      <c r="D84" s="228"/>
      <c r="E84" s="228" t="s">
        <v>230</v>
      </c>
      <c r="F84" s="229"/>
      <c r="G84" s="230">
        <f t="shared" si="2"/>
        <v>3.3333333333333335E-3</v>
      </c>
      <c r="H84" s="229"/>
      <c r="I84" s="231"/>
      <c r="J84" s="228">
        <v>3</v>
      </c>
      <c r="K84" s="232">
        <v>0.63</v>
      </c>
      <c r="L84" s="233">
        <v>0.22</v>
      </c>
      <c r="M84" s="233">
        <v>0.19</v>
      </c>
      <c r="N84" s="233">
        <v>0.85</v>
      </c>
      <c r="O84" s="233">
        <v>7.9000000000000001E-2</v>
      </c>
      <c r="P84" s="233">
        <v>5.6000000000000001E-2</v>
      </c>
      <c r="Q84" s="233">
        <v>0</v>
      </c>
      <c r="R84" s="233">
        <v>0.1</v>
      </c>
      <c r="S84" s="233">
        <v>0.84</v>
      </c>
      <c r="T84" s="233">
        <v>0.9</v>
      </c>
      <c r="U84" s="234">
        <v>1</v>
      </c>
      <c r="V84" s="232" t="s">
        <v>231</v>
      </c>
      <c r="W84" s="213"/>
    </row>
    <row r="85" spans="1:23">
      <c r="A85" s="9"/>
      <c r="B85" s="228" t="s">
        <v>325</v>
      </c>
      <c r="C85" s="228" t="s">
        <v>326</v>
      </c>
      <c r="D85" s="228"/>
      <c r="E85" s="228" t="s">
        <v>230</v>
      </c>
      <c r="F85" s="229"/>
      <c r="G85" s="230">
        <f t="shared" si="2"/>
        <v>6.6666666666666671E-3</v>
      </c>
      <c r="H85" s="229"/>
      <c r="I85" s="231"/>
      <c r="J85" s="228">
        <v>6</v>
      </c>
      <c r="K85" s="232">
        <v>0.6</v>
      </c>
      <c r="L85" s="233">
        <v>0.17</v>
      </c>
      <c r="M85" s="233">
        <v>0.22</v>
      </c>
      <c r="N85" s="233">
        <v>0.84</v>
      </c>
      <c r="O85" s="233">
        <v>5.5E-2</v>
      </c>
      <c r="P85" s="233">
        <v>7.8E-2</v>
      </c>
      <c r="Q85" s="233">
        <v>0</v>
      </c>
      <c r="R85" s="233">
        <v>0.84</v>
      </c>
      <c r="S85" s="233">
        <v>0.1</v>
      </c>
      <c r="T85" s="233">
        <v>0.9</v>
      </c>
      <c r="U85" s="234">
        <v>1</v>
      </c>
      <c r="V85" s="232" t="s">
        <v>231</v>
      </c>
      <c r="W85" s="213"/>
    </row>
    <row r="86" spans="1:23">
      <c r="A86" s="9"/>
      <c r="B86" s="228" t="s">
        <v>327</v>
      </c>
      <c r="C86" s="228" t="s">
        <v>328</v>
      </c>
      <c r="D86" s="228"/>
      <c r="E86" s="228" t="s">
        <v>230</v>
      </c>
      <c r="F86" s="229"/>
      <c r="G86" s="230">
        <f t="shared" si="2"/>
        <v>6.6666666666666671E-3</v>
      </c>
      <c r="H86" s="229"/>
      <c r="I86" s="231"/>
      <c r="J86" s="228">
        <v>6</v>
      </c>
      <c r="K86" s="232">
        <v>0.6</v>
      </c>
      <c r="L86" s="233">
        <v>0.22</v>
      </c>
      <c r="M86" s="233">
        <v>0.17</v>
      </c>
      <c r="N86" s="233">
        <v>0.84</v>
      </c>
      <c r="O86" s="233">
        <v>7.8E-2</v>
      </c>
      <c r="P86" s="233">
        <v>5.5E-2</v>
      </c>
      <c r="Q86" s="233">
        <v>0</v>
      </c>
      <c r="R86" s="233">
        <v>0.1</v>
      </c>
      <c r="S86" s="233">
        <v>0.84</v>
      </c>
      <c r="T86" s="233">
        <v>0.9</v>
      </c>
      <c r="U86" s="234">
        <v>1</v>
      </c>
      <c r="V86" s="232" t="s">
        <v>231</v>
      </c>
      <c r="W86" s="213"/>
    </row>
    <row r="87" spans="1:23">
      <c r="A87" s="9"/>
      <c r="B87" s="228" t="s">
        <v>329</v>
      </c>
      <c r="C87" s="228" t="s">
        <v>330</v>
      </c>
      <c r="D87" s="228"/>
      <c r="E87" s="228" t="s">
        <v>230</v>
      </c>
      <c r="F87" s="229"/>
      <c r="G87" s="230">
        <f t="shared" si="2"/>
        <v>6.6666666666666671E-3</v>
      </c>
      <c r="H87" s="229"/>
      <c r="I87" s="231"/>
      <c r="J87" s="228">
        <v>6</v>
      </c>
      <c r="K87" s="232">
        <v>0.36</v>
      </c>
      <c r="L87" s="233">
        <v>9.2999999999999999E-2</v>
      </c>
      <c r="M87" s="233">
        <v>0.2</v>
      </c>
      <c r="N87" s="233">
        <v>0.5</v>
      </c>
      <c r="O87" s="233">
        <v>3.5000000000000003E-2</v>
      </c>
      <c r="P87" s="233">
        <v>5.3999999999999999E-2</v>
      </c>
      <c r="Q87" s="233">
        <v>0</v>
      </c>
      <c r="R87" s="233">
        <v>0.84</v>
      </c>
      <c r="S87" s="233">
        <v>0.1</v>
      </c>
      <c r="T87" s="233">
        <v>0.9</v>
      </c>
      <c r="U87" s="234">
        <v>1</v>
      </c>
      <c r="V87" s="232" t="s">
        <v>231</v>
      </c>
      <c r="W87" s="213"/>
    </row>
    <row r="88" spans="1:23">
      <c r="A88" s="9"/>
      <c r="B88" s="228" t="s">
        <v>331</v>
      </c>
      <c r="C88" s="228" t="s">
        <v>332</v>
      </c>
      <c r="D88" s="228"/>
      <c r="E88" s="228" t="s">
        <v>230</v>
      </c>
      <c r="F88" s="229"/>
      <c r="G88" s="230">
        <f t="shared" si="2"/>
        <v>3.3333333333333335E-3</v>
      </c>
      <c r="H88" s="229"/>
      <c r="I88" s="231"/>
      <c r="J88" s="228">
        <v>3</v>
      </c>
      <c r="K88" s="232">
        <v>0.45</v>
      </c>
      <c r="L88" s="233">
        <v>0.34</v>
      </c>
      <c r="M88" s="233">
        <v>0.37</v>
      </c>
      <c r="N88" s="233">
        <v>0.78</v>
      </c>
      <c r="O88" s="233">
        <v>7.0000000000000007E-2</v>
      </c>
      <c r="P88" s="233">
        <v>0.06</v>
      </c>
      <c r="Q88" s="233">
        <v>0</v>
      </c>
      <c r="R88" s="233">
        <v>0.84</v>
      </c>
      <c r="S88" s="233">
        <v>0.03</v>
      </c>
      <c r="T88" s="233">
        <v>0.9</v>
      </c>
      <c r="U88" s="234">
        <v>1</v>
      </c>
      <c r="V88" s="232" t="s">
        <v>231</v>
      </c>
      <c r="W88" s="213"/>
    </row>
    <row r="89" spans="1:23" ht="17.45" customHeight="1">
      <c r="B89" s="228" t="s">
        <v>333</v>
      </c>
      <c r="C89" s="228" t="s">
        <v>334</v>
      </c>
      <c r="D89" s="228"/>
      <c r="E89" s="228" t="s">
        <v>230</v>
      </c>
      <c r="F89" s="229"/>
      <c r="G89" s="230">
        <f t="shared" si="2"/>
        <v>6.6666666666666671E-3</v>
      </c>
      <c r="H89" s="229"/>
      <c r="I89" s="231"/>
      <c r="J89" s="228">
        <v>6</v>
      </c>
      <c r="K89" s="232">
        <v>0.43</v>
      </c>
      <c r="L89" s="233">
        <v>0.3</v>
      </c>
      <c r="M89" s="233">
        <v>0.42</v>
      </c>
      <c r="N89" s="233">
        <v>0.77</v>
      </c>
      <c r="O89" s="233">
        <v>7.0000000000000007E-2</v>
      </c>
      <c r="P89" s="233">
        <v>0.06</v>
      </c>
      <c r="Q89" s="233">
        <v>0</v>
      </c>
      <c r="R89" s="233">
        <v>0.84</v>
      </c>
      <c r="S89" s="233">
        <v>0.03</v>
      </c>
      <c r="T89" s="233">
        <v>0.9</v>
      </c>
      <c r="U89" s="234">
        <v>1</v>
      </c>
      <c r="V89" s="232" t="s">
        <v>231</v>
      </c>
    </row>
    <row r="90" spans="1:23">
      <c r="B90" s="228" t="s">
        <v>335</v>
      </c>
      <c r="C90" s="228" t="s">
        <v>336</v>
      </c>
      <c r="D90" s="228"/>
      <c r="E90" s="228" t="s">
        <v>230</v>
      </c>
      <c r="F90" s="229"/>
      <c r="G90" s="230">
        <f t="shared" si="2"/>
        <v>6.6666666666666671E-3</v>
      </c>
      <c r="H90" s="229"/>
      <c r="I90" s="231"/>
      <c r="J90" s="228">
        <v>6</v>
      </c>
      <c r="K90" s="232">
        <v>0.43</v>
      </c>
      <c r="L90" s="233">
        <v>0.42</v>
      </c>
      <c r="M90" s="233">
        <v>0.3</v>
      </c>
      <c r="N90" s="233">
        <v>0.77</v>
      </c>
      <c r="O90" s="233">
        <v>0.06</v>
      </c>
      <c r="P90" s="233">
        <v>7.0000000000000007E-2</v>
      </c>
      <c r="Q90" s="233">
        <v>0</v>
      </c>
      <c r="R90" s="233">
        <v>0.03</v>
      </c>
      <c r="S90" s="233">
        <v>0.84</v>
      </c>
      <c r="T90" s="233">
        <v>0.9</v>
      </c>
      <c r="U90" s="234">
        <v>1</v>
      </c>
      <c r="V90" s="232" t="s">
        <v>231</v>
      </c>
    </row>
    <row r="91" spans="1:23">
      <c r="B91" s="228" t="s">
        <v>337</v>
      </c>
      <c r="C91" s="228" t="s">
        <v>338</v>
      </c>
      <c r="D91" s="228"/>
      <c r="E91" s="228" t="s">
        <v>230</v>
      </c>
      <c r="F91" s="229"/>
      <c r="G91" s="230">
        <f t="shared" si="2"/>
        <v>6.6666666666666671E-3</v>
      </c>
      <c r="H91" s="229"/>
      <c r="I91" s="231"/>
      <c r="J91" s="228">
        <v>6</v>
      </c>
      <c r="K91" s="232">
        <v>0.26</v>
      </c>
      <c r="L91" s="233">
        <v>0.14000000000000001</v>
      </c>
      <c r="M91" s="233">
        <v>0.41</v>
      </c>
      <c r="N91" s="233">
        <v>0.46</v>
      </c>
      <c r="O91" s="233">
        <v>0.06</v>
      </c>
      <c r="P91" s="233">
        <v>0.04</v>
      </c>
      <c r="Q91" s="233">
        <v>0</v>
      </c>
      <c r="R91" s="233">
        <v>0.84</v>
      </c>
      <c r="S91" s="233">
        <v>0.03</v>
      </c>
      <c r="T91" s="233">
        <v>0.9</v>
      </c>
      <c r="U91" s="234">
        <v>1</v>
      </c>
      <c r="V91" s="232" t="s">
        <v>231</v>
      </c>
    </row>
    <row r="92" spans="1:23">
      <c r="B92" s="228" t="s">
        <v>339</v>
      </c>
      <c r="C92" s="228" t="s">
        <v>340</v>
      </c>
      <c r="D92" s="228"/>
      <c r="E92" s="228" t="s">
        <v>230</v>
      </c>
      <c r="F92" s="229"/>
      <c r="G92" s="230">
        <f t="shared" si="2"/>
        <v>3.642857142857143E-3</v>
      </c>
      <c r="H92" s="229"/>
      <c r="I92" s="231"/>
      <c r="J92" s="228">
        <v>0.51</v>
      </c>
      <c r="K92" s="232">
        <v>0.65600000000000003</v>
      </c>
      <c r="L92" s="233">
        <v>0.249</v>
      </c>
      <c r="M92" s="233">
        <v>0.22700000000000001</v>
      </c>
      <c r="N92" s="233">
        <v>0.86799999999999999</v>
      </c>
      <c r="O92" s="233">
        <v>6.4000000000000001E-2</v>
      </c>
      <c r="P92" s="233">
        <v>0.06</v>
      </c>
      <c r="Q92" s="233">
        <v>0</v>
      </c>
      <c r="R92" s="233">
        <v>0.13600000000000001</v>
      </c>
      <c r="S92" s="233">
        <v>0.72</v>
      </c>
      <c r="T92" s="233">
        <v>0.14000000000000001</v>
      </c>
      <c r="U92" s="234">
        <v>1</v>
      </c>
      <c r="V92" s="232" t="s">
        <v>231</v>
      </c>
    </row>
    <row r="93" spans="1:23">
      <c r="B93" s="228" t="s">
        <v>341</v>
      </c>
      <c r="C93" s="228" t="s">
        <v>342</v>
      </c>
      <c r="D93" s="228"/>
      <c r="E93" s="228" t="s">
        <v>230</v>
      </c>
      <c r="F93" s="229"/>
      <c r="G93" s="230">
        <f t="shared" si="2"/>
        <v>3.642857142857143E-3</v>
      </c>
      <c r="H93" s="229"/>
      <c r="I93" s="231"/>
      <c r="J93" s="228">
        <v>0.51</v>
      </c>
      <c r="K93" s="232">
        <v>0.504</v>
      </c>
      <c r="L93" s="233">
        <v>0.40200000000000002</v>
      </c>
      <c r="M93" s="233">
        <v>0.39800000000000002</v>
      </c>
      <c r="N93" s="233">
        <v>0.76600000000000001</v>
      </c>
      <c r="O93" s="233">
        <v>0.14699999999999999</v>
      </c>
      <c r="P93" s="233">
        <v>0.16700000000000001</v>
      </c>
      <c r="Q93" s="233">
        <v>0</v>
      </c>
      <c r="R93" s="233">
        <v>7.4999999999999997E-2</v>
      </c>
      <c r="S93" s="233">
        <v>0.72</v>
      </c>
      <c r="T93" s="233">
        <v>0.14000000000000001</v>
      </c>
      <c r="U93" s="234">
        <v>1</v>
      </c>
      <c r="V93" s="232" t="s">
        <v>231</v>
      </c>
    </row>
    <row r="94" spans="1:23">
      <c r="B94" s="228" t="s">
        <v>343</v>
      </c>
      <c r="C94" s="228" t="s">
        <v>344</v>
      </c>
      <c r="D94" s="228"/>
      <c r="E94" s="228" t="s">
        <v>230</v>
      </c>
      <c r="F94" s="229"/>
      <c r="G94" s="230">
        <f t="shared" si="2"/>
        <v>3.642857142857143E-3</v>
      </c>
      <c r="H94" s="229"/>
      <c r="I94" s="231"/>
      <c r="J94" s="228">
        <v>0.51</v>
      </c>
      <c r="K94" s="232">
        <v>0.40300000000000002</v>
      </c>
      <c r="L94" s="233">
        <v>0.51400000000000001</v>
      </c>
      <c r="M94" s="233">
        <v>0.51500000000000001</v>
      </c>
      <c r="N94" s="233">
        <v>0.65800000000000003</v>
      </c>
      <c r="O94" s="233">
        <v>0.25600000000000001</v>
      </c>
      <c r="P94" s="233">
        <v>0.27900000000000003</v>
      </c>
      <c r="Q94" s="233">
        <v>0</v>
      </c>
      <c r="R94" s="233">
        <v>5.7000000000000002E-2</v>
      </c>
      <c r="S94" s="233">
        <v>0.72</v>
      </c>
      <c r="T94" s="233">
        <v>0.14000000000000001</v>
      </c>
      <c r="U94" s="234">
        <v>1</v>
      </c>
      <c r="V94" s="232" t="s">
        <v>231</v>
      </c>
    </row>
    <row r="95" spans="1:23">
      <c r="B95" s="228" t="s">
        <v>345</v>
      </c>
      <c r="C95" s="228" t="s">
        <v>346</v>
      </c>
      <c r="D95" s="228"/>
      <c r="E95" s="228" t="s">
        <v>230</v>
      </c>
      <c r="F95" s="229"/>
      <c r="G95" s="230">
        <f t="shared" si="2"/>
        <v>3.642857142857143E-3</v>
      </c>
      <c r="H95" s="229"/>
      <c r="I95" s="231"/>
      <c r="J95" s="228">
        <v>0.51</v>
      </c>
      <c r="K95" s="232">
        <v>0.32</v>
      </c>
      <c r="L95" s="233">
        <v>0.58199999999999996</v>
      </c>
      <c r="M95" s="233">
        <v>0.59299999999999997</v>
      </c>
      <c r="N95" s="233">
        <v>0.55100000000000005</v>
      </c>
      <c r="O95" s="233">
        <v>0.33600000000000002</v>
      </c>
      <c r="P95" s="233">
        <v>0.375</v>
      </c>
      <c r="Q95" s="233">
        <v>0</v>
      </c>
      <c r="R95" s="233">
        <v>4.5999999999999999E-2</v>
      </c>
      <c r="S95" s="233">
        <v>0.72</v>
      </c>
      <c r="T95" s="233">
        <v>0.14000000000000001</v>
      </c>
      <c r="U95" s="234">
        <v>1</v>
      </c>
      <c r="V95" s="232" t="s">
        <v>231</v>
      </c>
    </row>
    <row r="96" spans="1:23">
      <c r="B96" s="228" t="s">
        <v>347</v>
      </c>
      <c r="C96" s="228" t="s">
        <v>348</v>
      </c>
      <c r="D96" s="228"/>
      <c r="E96" s="228" t="s">
        <v>230</v>
      </c>
      <c r="F96" s="229"/>
      <c r="G96" s="230">
        <f t="shared" si="2"/>
        <v>3.642857142857143E-3</v>
      </c>
      <c r="H96" s="229"/>
      <c r="I96" s="231"/>
      <c r="J96" s="228">
        <v>0.51</v>
      </c>
      <c r="K96" s="232">
        <v>0.245</v>
      </c>
      <c r="L96" s="233">
        <v>0.626</v>
      </c>
      <c r="M96" s="233">
        <v>0.64100000000000001</v>
      </c>
      <c r="N96" s="233">
        <v>0.439</v>
      </c>
      <c r="O96" s="233">
        <v>0.39700000000000002</v>
      </c>
      <c r="P96" s="233">
        <v>0.45300000000000001</v>
      </c>
      <c r="Q96" s="233">
        <v>0</v>
      </c>
      <c r="R96" s="233">
        <v>3.6999999999999998E-2</v>
      </c>
      <c r="S96" s="233">
        <v>0.72</v>
      </c>
      <c r="T96" s="233">
        <v>0.14000000000000001</v>
      </c>
      <c r="U96" s="234">
        <v>1</v>
      </c>
      <c r="V96" s="232" t="s">
        <v>231</v>
      </c>
    </row>
    <row r="97" spans="2:22">
      <c r="B97" s="228" t="s">
        <v>349</v>
      </c>
      <c r="C97" s="228" t="s">
        <v>350</v>
      </c>
      <c r="D97" s="228"/>
      <c r="E97" s="228" t="s">
        <v>230</v>
      </c>
      <c r="F97" s="229"/>
      <c r="G97" s="230">
        <f t="shared" si="2"/>
        <v>3.642857142857143E-3</v>
      </c>
      <c r="H97" s="229"/>
      <c r="I97" s="231"/>
      <c r="J97" s="228">
        <v>0.51</v>
      </c>
      <c r="K97" s="232">
        <v>0.17799999999999999</v>
      </c>
      <c r="L97" s="233">
        <v>0.73899999999999999</v>
      </c>
      <c r="M97" s="233">
        <v>0.73799999999999999</v>
      </c>
      <c r="N97" s="233">
        <v>0.33</v>
      </c>
      <c r="O97" s="233">
        <v>0.56599999999999995</v>
      </c>
      <c r="P97" s="233">
        <v>0.59099999999999997</v>
      </c>
      <c r="Q97" s="233">
        <v>0</v>
      </c>
      <c r="R97" s="233">
        <v>3.5000000000000003E-2</v>
      </c>
      <c r="S97" s="233">
        <v>0.72</v>
      </c>
      <c r="T97" s="233">
        <v>0.14000000000000001</v>
      </c>
      <c r="U97" s="234">
        <v>1</v>
      </c>
      <c r="V97" s="232" t="s">
        <v>231</v>
      </c>
    </row>
    <row r="98" spans="2:22">
      <c r="B98" s="228" t="s">
        <v>351</v>
      </c>
      <c r="C98" s="228" t="s">
        <v>352</v>
      </c>
      <c r="D98" s="228"/>
      <c r="E98" s="228" t="s">
        <v>230</v>
      </c>
      <c r="F98" s="229"/>
      <c r="G98" s="230">
        <f t="shared" si="2"/>
        <v>6.6666666666666671E-3</v>
      </c>
      <c r="H98" s="229"/>
      <c r="I98" s="231"/>
      <c r="J98" s="228">
        <v>6</v>
      </c>
      <c r="K98" s="232">
        <v>0.81399999999999995</v>
      </c>
      <c r="L98" s="233">
        <v>8.5999999999999993E-2</v>
      </c>
      <c r="M98" s="233">
        <v>8.5999999999999993E-2</v>
      </c>
      <c r="N98" s="233">
        <v>0.84699999999999998</v>
      </c>
      <c r="O98" s="233">
        <v>9.9000000000000005E-2</v>
      </c>
      <c r="P98" s="233">
        <v>9.9000000000000005E-2</v>
      </c>
      <c r="Q98" s="233">
        <v>0</v>
      </c>
      <c r="R98" s="233">
        <v>0.84</v>
      </c>
      <c r="S98" s="233">
        <v>0.84</v>
      </c>
      <c r="T98" s="233">
        <v>0.9</v>
      </c>
      <c r="U98" s="234">
        <v>1</v>
      </c>
      <c r="V98" s="232" t="s">
        <v>231</v>
      </c>
    </row>
    <row r="99" spans="2:22">
      <c r="B99" s="228" t="s">
        <v>353</v>
      </c>
      <c r="C99" s="228" t="s">
        <v>354</v>
      </c>
      <c r="D99" s="228"/>
      <c r="E99" s="228" t="s">
        <v>230</v>
      </c>
      <c r="F99" s="229"/>
      <c r="G99" s="230">
        <f t="shared" si="2"/>
        <v>6.6666666666666671E-3</v>
      </c>
      <c r="H99" s="229"/>
      <c r="I99" s="231"/>
      <c r="J99" s="228">
        <v>6</v>
      </c>
      <c r="K99" s="232">
        <v>0.111</v>
      </c>
      <c r="L99" s="233">
        <v>0.17899999999999999</v>
      </c>
      <c r="M99" s="233">
        <v>0.17899999999999999</v>
      </c>
      <c r="N99" s="233">
        <v>0.128</v>
      </c>
      <c r="O99" s="233">
        <v>8.1000000000000003E-2</v>
      </c>
      <c r="P99" s="233">
        <v>8.1000000000000003E-2</v>
      </c>
      <c r="Q99" s="233">
        <v>0</v>
      </c>
      <c r="R99" s="233">
        <v>0.84</v>
      </c>
      <c r="S99" s="233">
        <v>0.84</v>
      </c>
      <c r="T99" s="233">
        <v>0.9</v>
      </c>
      <c r="U99" s="234">
        <v>1</v>
      </c>
      <c r="V99" s="232" t="s">
        <v>231</v>
      </c>
    </row>
    <row r="100" spans="2:22">
      <c r="B100" s="228" t="s">
        <v>355</v>
      </c>
      <c r="C100" s="228" t="s">
        <v>356</v>
      </c>
      <c r="D100" s="228"/>
      <c r="E100" s="228" t="s">
        <v>230</v>
      </c>
      <c r="F100" s="229"/>
      <c r="G100" s="230">
        <f t="shared" si="2"/>
        <v>6.6666666666666671E-3</v>
      </c>
      <c r="H100" s="229"/>
      <c r="I100" s="231"/>
      <c r="J100" s="228">
        <v>6</v>
      </c>
      <c r="K100" s="232">
        <v>0.69399999999999995</v>
      </c>
      <c r="L100" s="233">
        <v>0.16800000000000001</v>
      </c>
      <c r="M100" s="233">
        <v>0.16800000000000001</v>
      </c>
      <c r="N100" s="233">
        <v>0.81799999999999995</v>
      </c>
      <c r="O100" s="233">
        <v>0.11</v>
      </c>
      <c r="P100" s="233">
        <v>0.11</v>
      </c>
      <c r="Q100" s="233">
        <v>0</v>
      </c>
      <c r="R100" s="233">
        <v>0.84</v>
      </c>
      <c r="S100" s="233">
        <v>0.84</v>
      </c>
      <c r="T100" s="233">
        <v>0.9</v>
      </c>
      <c r="U100" s="234">
        <v>1</v>
      </c>
      <c r="V100" s="232" t="s">
        <v>231</v>
      </c>
    </row>
    <row r="101" spans="2:22">
      <c r="B101" s="228" t="s">
        <v>357</v>
      </c>
      <c r="C101" s="228" t="s">
        <v>358</v>
      </c>
      <c r="D101" s="228"/>
      <c r="E101" s="228" t="s">
        <v>230</v>
      </c>
      <c r="F101" s="229"/>
      <c r="G101" s="230">
        <f t="shared" si="2"/>
        <v>6.6666666666666671E-3</v>
      </c>
      <c r="H101" s="229"/>
      <c r="I101" s="231"/>
      <c r="J101" s="228">
        <v>6</v>
      </c>
      <c r="K101" s="232">
        <v>9.9000000000000005E-2</v>
      </c>
      <c r="L101" s="233">
        <v>0.219</v>
      </c>
      <c r="M101" s="233">
        <v>0.219</v>
      </c>
      <c r="N101" s="233">
        <v>0.155</v>
      </c>
      <c r="O101" s="233">
        <v>7.2999999999999995E-2</v>
      </c>
      <c r="P101" s="233">
        <v>7.2999999999999995E-2</v>
      </c>
      <c r="Q101" s="233">
        <v>0</v>
      </c>
      <c r="R101" s="233">
        <v>0.84</v>
      </c>
      <c r="S101" s="233">
        <v>0.84</v>
      </c>
      <c r="T101" s="233">
        <v>0.9</v>
      </c>
      <c r="U101" s="234">
        <v>1</v>
      </c>
      <c r="V101" s="232" t="s">
        <v>231</v>
      </c>
    </row>
    <row r="102" spans="2:22">
      <c r="B102" s="228" t="s">
        <v>359</v>
      </c>
      <c r="C102" s="228" t="s">
        <v>360</v>
      </c>
      <c r="D102" s="228"/>
      <c r="E102" s="228" t="s">
        <v>230</v>
      </c>
      <c r="F102" s="229"/>
      <c r="G102" s="230">
        <f t="shared" si="2"/>
        <v>6.6666666666666671E-3</v>
      </c>
      <c r="H102" s="229"/>
      <c r="I102" s="231"/>
      <c r="J102" s="228">
        <v>6</v>
      </c>
      <c r="K102" s="232">
        <v>0.81399999999999995</v>
      </c>
      <c r="L102" s="233">
        <v>8.5999999999999993E-2</v>
      </c>
      <c r="M102" s="233">
        <v>8.5999999999999993E-2</v>
      </c>
      <c r="N102" s="233">
        <v>0.84699999999999998</v>
      </c>
      <c r="O102" s="233">
        <v>9.9000000000000005E-2</v>
      </c>
      <c r="P102" s="233">
        <v>9.9000000000000005E-2</v>
      </c>
      <c r="Q102" s="233">
        <v>0</v>
      </c>
      <c r="R102" s="233">
        <v>0.84</v>
      </c>
      <c r="S102" s="233">
        <v>0.1</v>
      </c>
      <c r="T102" s="233">
        <v>0.9</v>
      </c>
      <c r="U102" s="234">
        <v>1</v>
      </c>
      <c r="V102" s="232" t="s">
        <v>231</v>
      </c>
    </row>
    <row r="103" spans="2:22">
      <c r="B103" s="228" t="s">
        <v>361</v>
      </c>
      <c r="C103" s="228" t="s">
        <v>362</v>
      </c>
      <c r="D103" s="228"/>
      <c r="E103" s="228" t="s">
        <v>230</v>
      </c>
      <c r="F103" s="229"/>
      <c r="G103" s="230">
        <f t="shared" si="2"/>
        <v>6.6666666666666671E-3</v>
      </c>
      <c r="H103" s="229"/>
      <c r="I103" s="231"/>
      <c r="J103" s="228">
        <v>6</v>
      </c>
      <c r="K103" s="232">
        <v>0.111</v>
      </c>
      <c r="L103" s="233">
        <v>0.17899999999999999</v>
      </c>
      <c r="M103" s="233">
        <v>0.17899999999999999</v>
      </c>
      <c r="N103" s="233">
        <v>0.128</v>
      </c>
      <c r="O103" s="233">
        <v>8.1000000000000003E-2</v>
      </c>
      <c r="P103" s="233">
        <v>8.1000000000000003E-2</v>
      </c>
      <c r="Q103" s="233">
        <v>0</v>
      </c>
      <c r="R103" s="233">
        <v>0.84</v>
      </c>
      <c r="S103" s="233">
        <v>0.1</v>
      </c>
      <c r="T103" s="233">
        <v>0.9</v>
      </c>
      <c r="U103" s="234">
        <v>1</v>
      </c>
      <c r="V103" s="232" t="s">
        <v>231</v>
      </c>
    </row>
    <row r="104" spans="2:22">
      <c r="B104" s="228" t="s">
        <v>363</v>
      </c>
      <c r="C104" s="228" t="s">
        <v>364</v>
      </c>
      <c r="D104" s="228"/>
      <c r="E104" s="228" t="s">
        <v>230</v>
      </c>
      <c r="F104" s="229"/>
      <c r="G104" s="230">
        <f t="shared" si="2"/>
        <v>6.6666666666666671E-3</v>
      </c>
      <c r="H104" s="229"/>
      <c r="I104" s="231"/>
      <c r="J104" s="228">
        <v>6</v>
      </c>
      <c r="K104" s="232">
        <v>0.69399999999999995</v>
      </c>
      <c r="L104" s="233">
        <v>0.16800000000000001</v>
      </c>
      <c r="M104" s="233">
        <v>0.16800000000000001</v>
      </c>
      <c r="N104" s="233">
        <v>0.81799999999999995</v>
      </c>
      <c r="O104" s="233">
        <v>0.11</v>
      </c>
      <c r="P104" s="233">
        <v>0.11</v>
      </c>
      <c r="Q104" s="233">
        <v>0</v>
      </c>
      <c r="R104" s="233">
        <v>0.84</v>
      </c>
      <c r="S104" s="233">
        <v>0.1</v>
      </c>
      <c r="T104" s="233">
        <v>0.9</v>
      </c>
      <c r="U104" s="234">
        <v>1</v>
      </c>
      <c r="V104" s="232" t="s">
        <v>231</v>
      </c>
    </row>
    <row r="105" spans="2:22">
      <c r="B105" s="228" t="s">
        <v>365</v>
      </c>
      <c r="C105" s="228" t="s">
        <v>366</v>
      </c>
      <c r="D105" s="228"/>
      <c r="E105" s="228" t="s">
        <v>230</v>
      </c>
      <c r="F105" s="229"/>
      <c r="G105" s="230">
        <f t="shared" si="2"/>
        <v>6.6666666666666671E-3</v>
      </c>
      <c r="H105" s="229"/>
      <c r="I105" s="231"/>
      <c r="J105" s="228">
        <v>6</v>
      </c>
      <c r="K105" s="232">
        <v>9.9000000000000005E-2</v>
      </c>
      <c r="L105" s="233">
        <v>0.219</v>
      </c>
      <c r="M105" s="233">
        <v>0.219</v>
      </c>
      <c r="N105" s="233">
        <v>0.155</v>
      </c>
      <c r="O105" s="233">
        <v>7.2999999999999995E-2</v>
      </c>
      <c r="P105" s="233">
        <v>7.2999999999999995E-2</v>
      </c>
      <c r="Q105" s="233">
        <v>0</v>
      </c>
      <c r="R105" s="233">
        <v>0.84</v>
      </c>
      <c r="S105" s="233">
        <v>0.1</v>
      </c>
      <c r="T105" s="233">
        <v>0.9</v>
      </c>
      <c r="U105" s="234">
        <v>1</v>
      </c>
      <c r="V105" s="232" t="s">
        <v>231</v>
      </c>
    </row>
    <row r="106" spans="2:22">
      <c r="C106"/>
      <c r="D106"/>
      <c r="E106"/>
      <c r="I106" s="65"/>
      <c r="J106"/>
      <c r="K106"/>
      <c r="L106"/>
      <c r="M106"/>
      <c r="N106"/>
      <c r="O106"/>
      <c r="P106"/>
      <c r="Q106"/>
      <c r="R106"/>
      <c r="S106"/>
      <c r="T106"/>
    </row>
    <row r="107" spans="2:22">
      <c r="C107"/>
      <c r="D107"/>
      <c r="E107"/>
      <c r="I107" s="65"/>
      <c r="J107"/>
      <c r="K107"/>
      <c r="L107"/>
      <c r="M107"/>
      <c r="N107"/>
      <c r="O107"/>
      <c r="P107"/>
      <c r="Q107"/>
      <c r="R107"/>
      <c r="S107"/>
      <c r="T107"/>
    </row>
    <row r="108" spans="2:22">
      <c r="C108"/>
      <c r="D108"/>
      <c r="E108"/>
      <c r="I108" s="65"/>
      <c r="J108"/>
      <c r="K108"/>
      <c r="L108"/>
      <c r="M108"/>
      <c r="N108"/>
      <c r="O108"/>
      <c r="P108"/>
      <c r="Q108"/>
      <c r="R108"/>
      <c r="S108"/>
      <c r="T108"/>
    </row>
    <row r="109" spans="2:22">
      <c r="C109"/>
      <c r="D109"/>
      <c r="E109"/>
      <c r="I109" s="65"/>
      <c r="J109"/>
      <c r="K109"/>
      <c r="L109"/>
      <c r="M109"/>
      <c r="N109"/>
      <c r="O109"/>
      <c r="P109"/>
      <c r="Q109"/>
      <c r="R109"/>
      <c r="S109"/>
      <c r="T109"/>
    </row>
    <row r="110" spans="2:22">
      <c r="C110"/>
      <c r="D110"/>
      <c r="E110"/>
      <c r="I110" s="65"/>
      <c r="J110"/>
      <c r="K110"/>
      <c r="L110"/>
      <c r="M110"/>
      <c r="N110"/>
      <c r="O110"/>
      <c r="P110"/>
      <c r="Q110"/>
      <c r="R110"/>
      <c r="S110"/>
      <c r="T110"/>
    </row>
    <row r="111" spans="2:22">
      <c r="C111"/>
      <c r="D111"/>
      <c r="E111"/>
      <c r="I111" s="65"/>
      <c r="J111"/>
      <c r="K111"/>
      <c r="L111"/>
      <c r="M111"/>
      <c r="N111"/>
      <c r="O111"/>
      <c r="P111"/>
      <c r="Q111"/>
      <c r="R111"/>
      <c r="S111"/>
      <c r="T111"/>
    </row>
    <row r="112" spans="2:22">
      <c r="C112"/>
      <c r="D112"/>
      <c r="E112"/>
      <c r="I112" s="65"/>
      <c r="J112"/>
      <c r="K112"/>
      <c r="L112"/>
      <c r="M112"/>
      <c r="N112"/>
      <c r="O112"/>
      <c r="P112"/>
      <c r="Q112"/>
      <c r="R112"/>
      <c r="S112"/>
      <c r="T112"/>
    </row>
    <row r="113" spans="3:20">
      <c r="C113"/>
      <c r="D113"/>
      <c r="E113"/>
      <c r="I113" s="65"/>
      <c r="J113"/>
      <c r="K113"/>
      <c r="L113"/>
      <c r="M113"/>
      <c r="N113"/>
      <c r="O113"/>
      <c r="P113"/>
      <c r="Q113"/>
      <c r="R113"/>
      <c r="S113"/>
      <c r="T113"/>
    </row>
    <row r="114" spans="3:20">
      <c r="C114"/>
      <c r="D114"/>
      <c r="E114"/>
      <c r="I114" s="65"/>
      <c r="J114"/>
      <c r="K114"/>
      <c r="L114"/>
      <c r="M114"/>
      <c r="N114"/>
      <c r="O114"/>
      <c r="P114"/>
      <c r="Q114"/>
      <c r="R114"/>
      <c r="S114"/>
      <c r="T114"/>
    </row>
    <row r="115" spans="3:20">
      <c r="C115"/>
      <c r="D115"/>
      <c r="E115"/>
      <c r="I115" s="65"/>
      <c r="J115"/>
      <c r="K115"/>
      <c r="L115"/>
      <c r="M115"/>
      <c r="N115"/>
      <c r="O115"/>
      <c r="P115"/>
      <c r="Q115"/>
      <c r="R115"/>
      <c r="S115"/>
      <c r="T115"/>
    </row>
    <row r="116" spans="3:20">
      <c r="C116"/>
      <c r="D116"/>
      <c r="E116"/>
      <c r="I116" s="65"/>
      <c r="J116"/>
      <c r="K116"/>
      <c r="L116"/>
      <c r="M116"/>
      <c r="N116"/>
      <c r="O116"/>
      <c r="P116"/>
      <c r="Q116"/>
      <c r="R116"/>
      <c r="S116"/>
      <c r="T116"/>
    </row>
    <row r="117" spans="3:20">
      <c r="C117"/>
      <c r="D117"/>
      <c r="E117"/>
      <c r="I117" s="65"/>
      <c r="J117"/>
      <c r="K117"/>
      <c r="L117"/>
      <c r="M117"/>
      <c r="N117"/>
      <c r="O117"/>
      <c r="P117"/>
      <c r="Q117"/>
      <c r="R117"/>
      <c r="S117"/>
      <c r="T117"/>
    </row>
    <row r="118" spans="3:20">
      <c r="C118"/>
      <c r="D118"/>
      <c r="E118"/>
      <c r="I118" s="65"/>
      <c r="J118"/>
      <c r="K118"/>
      <c r="L118"/>
      <c r="M118"/>
      <c r="N118"/>
      <c r="O118"/>
      <c r="P118"/>
      <c r="Q118"/>
      <c r="R118"/>
      <c r="S118"/>
      <c r="T118"/>
    </row>
    <row r="119" spans="3:20">
      <c r="C119"/>
      <c r="D119"/>
      <c r="E119"/>
      <c r="I119" s="65"/>
      <c r="J119"/>
      <c r="K119"/>
      <c r="L119"/>
      <c r="M119"/>
      <c r="N119"/>
      <c r="O119"/>
      <c r="P119"/>
      <c r="Q119"/>
      <c r="R119"/>
      <c r="S119"/>
      <c r="T119"/>
    </row>
    <row r="120" spans="3:20">
      <c r="C120"/>
      <c r="D120"/>
      <c r="E120"/>
      <c r="I120" s="65"/>
      <c r="J120"/>
      <c r="K120"/>
      <c r="L120"/>
      <c r="M120"/>
      <c r="N120"/>
      <c r="O120"/>
      <c r="P120"/>
      <c r="Q120"/>
      <c r="R120"/>
      <c r="S120"/>
      <c r="T120"/>
    </row>
    <row r="121" spans="3:20">
      <c r="C121"/>
      <c r="D121"/>
      <c r="E121"/>
      <c r="I121" s="65"/>
      <c r="J121"/>
      <c r="K121"/>
      <c r="L121"/>
      <c r="M121"/>
      <c r="N121"/>
      <c r="O121"/>
      <c r="P121"/>
      <c r="Q121"/>
      <c r="R121"/>
      <c r="S121"/>
      <c r="T121"/>
    </row>
    <row r="122" spans="3:20">
      <c r="C122"/>
      <c r="D122"/>
      <c r="E122"/>
      <c r="I122" s="65"/>
      <c r="J122"/>
      <c r="K122"/>
      <c r="L122"/>
      <c r="M122"/>
      <c r="N122"/>
      <c r="O122"/>
      <c r="P122"/>
      <c r="Q122"/>
      <c r="R122"/>
      <c r="S122"/>
      <c r="T122"/>
    </row>
    <row r="123" spans="3:20">
      <c r="C123"/>
      <c r="D123"/>
      <c r="E123"/>
      <c r="I123" s="65"/>
      <c r="J123"/>
      <c r="K123"/>
      <c r="L123"/>
      <c r="M123"/>
      <c r="N123"/>
      <c r="O123"/>
      <c r="P123"/>
      <c r="Q123"/>
      <c r="R123"/>
      <c r="S123"/>
      <c r="T123"/>
    </row>
    <row r="124" spans="3:20">
      <c r="C124"/>
      <c r="D124"/>
      <c r="E124"/>
      <c r="I124" s="65"/>
      <c r="J124"/>
      <c r="K124"/>
      <c r="L124"/>
      <c r="M124"/>
      <c r="N124"/>
      <c r="O124"/>
      <c r="P124"/>
      <c r="Q124"/>
      <c r="R124"/>
      <c r="S124"/>
      <c r="T124"/>
    </row>
    <row r="125" spans="3:20">
      <c r="C125"/>
      <c r="D125"/>
      <c r="E125"/>
      <c r="I125" s="65"/>
      <c r="J125"/>
      <c r="K125"/>
      <c r="L125"/>
      <c r="M125"/>
      <c r="N125"/>
      <c r="O125"/>
      <c r="P125"/>
      <c r="Q125"/>
      <c r="R125"/>
      <c r="S125"/>
      <c r="T125"/>
    </row>
    <row r="126" spans="3:20">
      <c r="C126"/>
      <c r="D126"/>
      <c r="E126"/>
      <c r="I126" s="65"/>
      <c r="J126"/>
      <c r="K126"/>
      <c r="L126"/>
      <c r="M126"/>
      <c r="N126"/>
      <c r="O126"/>
      <c r="P126"/>
      <c r="Q126"/>
      <c r="R126"/>
      <c r="S126"/>
      <c r="T126"/>
    </row>
    <row r="127" spans="3:20">
      <c r="E127" s="65"/>
      <c r="I127" s="65"/>
      <c r="J127"/>
      <c r="K127"/>
      <c r="L127"/>
      <c r="M127"/>
      <c r="N127"/>
      <c r="O127"/>
      <c r="P127"/>
      <c r="Q127"/>
      <c r="R127"/>
      <c r="S127"/>
      <c r="T127"/>
    </row>
    <row r="128" spans="3:20">
      <c r="E128" s="65"/>
      <c r="I128" s="65"/>
      <c r="J128"/>
      <c r="K128"/>
      <c r="L128"/>
      <c r="M128"/>
      <c r="N128"/>
      <c r="O128"/>
      <c r="P128"/>
      <c r="Q128"/>
      <c r="R128"/>
      <c r="S128"/>
      <c r="T128"/>
    </row>
    <row r="129" spans="5:20">
      <c r="E129" s="65"/>
      <c r="I129" s="65"/>
      <c r="J129"/>
      <c r="K129"/>
      <c r="L129"/>
      <c r="M129"/>
      <c r="N129"/>
      <c r="O129"/>
      <c r="P129"/>
      <c r="Q129"/>
      <c r="R129"/>
      <c r="S129"/>
      <c r="T129"/>
    </row>
    <row r="130" spans="5:20">
      <c r="E130" s="65"/>
      <c r="I130" s="65"/>
      <c r="J130"/>
      <c r="K130"/>
      <c r="L130"/>
      <c r="M130"/>
      <c r="N130"/>
      <c r="O130"/>
      <c r="P130"/>
      <c r="Q130"/>
      <c r="R130"/>
      <c r="S130"/>
      <c r="T130"/>
    </row>
    <row r="131" spans="5:20">
      <c r="E131" s="65"/>
      <c r="I131" s="65"/>
      <c r="J131"/>
      <c r="K131"/>
      <c r="L131"/>
      <c r="M131"/>
      <c r="N131"/>
      <c r="O131"/>
      <c r="P131"/>
      <c r="Q131"/>
      <c r="R131"/>
      <c r="S131"/>
      <c r="T131"/>
    </row>
    <row r="132" spans="5:20">
      <c r="E132" s="65"/>
      <c r="I132" s="65"/>
      <c r="J132"/>
      <c r="K132"/>
      <c r="L132"/>
      <c r="M132"/>
      <c r="N132"/>
      <c r="O132"/>
      <c r="P132"/>
      <c r="Q132"/>
      <c r="R132"/>
      <c r="S132"/>
      <c r="T132"/>
    </row>
    <row r="133" spans="5:20">
      <c r="E133" s="65"/>
      <c r="I133" s="65"/>
      <c r="J133"/>
      <c r="K133"/>
      <c r="L133"/>
      <c r="M133"/>
      <c r="N133"/>
      <c r="O133"/>
      <c r="P133"/>
      <c r="Q133"/>
      <c r="R133"/>
      <c r="S133"/>
      <c r="T133"/>
    </row>
    <row r="134" spans="5:20">
      <c r="E134" s="65"/>
      <c r="I134" s="65"/>
      <c r="J134"/>
      <c r="K134"/>
      <c r="L134"/>
      <c r="M134"/>
      <c r="N134"/>
      <c r="O134"/>
      <c r="P134"/>
      <c r="Q134"/>
      <c r="R134"/>
      <c r="S134"/>
      <c r="T134"/>
    </row>
    <row r="135" spans="5:20">
      <c r="E135" s="65"/>
      <c r="I135" s="65"/>
      <c r="J135"/>
      <c r="K135"/>
      <c r="L135"/>
      <c r="M135"/>
      <c r="N135"/>
      <c r="O135"/>
      <c r="P135"/>
      <c r="Q135"/>
      <c r="R135"/>
      <c r="S135"/>
      <c r="T135"/>
    </row>
    <row r="136" spans="5:20">
      <c r="E136" s="65"/>
      <c r="I136" s="65"/>
      <c r="J136"/>
      <c r="K136"/>
      <c r="L136"/>
      <c r="M136"/>
      <c r="N136"/>
      <c r="O136"/>
      <c r="P136"/>
      <c r="Q136"/>
      <c r="R136"/>
      <c r="S136"/>
      <c r="T136"/>
    </row>
    <row r="137" spans="5:20">
      <c r="E137" s="65"/>
      <c r="I137" s="65"/>
      <c r="J137"/>
      <c r="K137"/>
      <c r="L137"/>
      <c r="M137"/>
      <c r="N137"/>
      <c r="O137"/>
      <c r="P137"/>
      <c r="Q137"/>
      <c r="R137"/>
      <c r="S137"/>
      <c r="T137"/>
    </row>
    <row r="138" spans="5:20">
      <c r="E138" s="65"/>
      <c r="I138" s="65"/>
      <c r="J138"/>
      <c r="K138"/>
      <c r="L138"/>
      <c r="M138"/>
      <c r="N138"/>
      <c r="O138"/>
      <c r="P138"/>
      <c r="Q138"/>
      <c r="R138"/>
      <c r="S138"/>
      <c r="T138"/>
    </row>
    <row r="139" spans="5:20">
      <c r="E139" s="65"/>
      <c r="I139" s="65"/>
      <c r="J139"/>
      <c r="K139"/>
      <c r="L139"/>
      <c r="M139"/>
      <c r="N139"/>
      <c r="O139"/>
      <c r="P139"/>
      <c r="Q139"/>
      <c r="R139"/>
      <c r="S139"/>
      <c r="T139"/>
    </row>
    <row r="140" spans="5:20">
      <c r="E140" s="65"/>
      <c r="I140" s="65"/>
      <c r="J140"/>
      <c r="K140"/>
      <c r="L140"/>
      <c r="M140"/>
      <c r="N140"/>
      <c r="O140"/>
      <c r="P140"/>
      <c r="Q140"/>
      <c r="R140"/>
      <c r="S140"/>
      <c r="T140"/>
    </row>
    <row r="141" spans="5:20">
      <c r="E141" s="65"/>
      <c r="I141" s="65"/>
      <c r="J141"/>
      <c r="K141"/>
      <c r="L141"/>
      <c r="M141"/>
      <c r="N141"/>
      <c r="O141"/>
      <c r="P141"/>
      <c r="Q141"/>
      <c r="R141"/>
      <c r="S141"/>
      <c r="T141"/>
    </row>
    <row r="142" spans="5:20">
      <c r="E142" s="65"/>
      <c r="I142" s="65"/>
      <c r="J142"/>
      <c r="K142"/>
      <c r="L142"/>
      <c r="M142"/>
      <c r="N142"/>
      <c r="O142"/>
      <c r="P142"/>
      <c r="Q142"/>
      <c r="R142"/>
      <c r="S142"/>
      <c r="T142"/>
    </row>
    <row r="143" spans="5:20">
      <c r="E143" s="65"/>
      <c r="I143" s="65"/>
      <c r="J143"/>
      <c r="K143"/>
      <c r="L143"/>
      <c r="M143"/>
      <c r="N143"/>
      <c r="O143"/>
      <c r="P143"/>
      <c r="Q143"/>
      <c r="R143"/>
      <c r="S143"/>
      <c r="T143"/>
    </row>
    <row r="144" spans="5:20">
      <c r="E144" s="65"/>
      <c r="I144" s="65"/>
      <c r="J144"/>
      <c r="K144"/>
      <c r="L144"/>
      <c r="M144"/>
      <c r="N144"/>
      <c r="O144"/>
      <c r="P144"/>
      <c r="Q144"/>
      <c r="R144"/>
      <c r="S144"/>
      <c r="T144"/>
    </row>
    <row r="145" spans="5:20">
      <c r="E145" s="65"/>
      <c r="I145" s="65"/>
      <c r="J145"/>
      <c r="K145"/>
      <c r="L145"/>
      <c r="M145"/>
      <c r="N145"/>
      <c r="O145"/>
      <c r="P145"/>
      <c r="Q145"/>
      <c r="R145"/>
      <c r="S145"/>
      <c r="T145"/>
    </row>
    <row r="146" spans="5:20">
      <c r="E146" s="65"/>
      <c r="I146" s="65"/>
      <c r="J146"/>
      <c r="K146"/>
      <c r="L146"/>
      <c r="M146"/>
      <c r="N146"/>
      <c r="O146"/>
      <c r="P146"/>
      <c r="Q146"/>
      <c r="R146"/>
      <c r="S146"/>
      <c r="T146"/>
    </row>
    <row r="147" spans="5:20">
      <c r="E147" s="65"/>
      <c r="I147" s="65"/>
      <c r="J147"/>
      <c r="K147"/>
      <c r="L147"/>
      <c r="M147"/>
      <c r="N147"/>
      <c r="O147"/>
      <c r="P147"/>
      <c r="Q147"/>
      <c r="R147"/>
      <c r="S147"/>
      <c r="T147"/>
    </row>
    <row r="148" spans="5:20">
      <c r="E148" s="65"/>
      <c r="I148" s="65"/>
      <c r="J148"/>
      <c r="K148"/>
      <c r="L148"/>
      <c r="M148"/>
      <c r="N148"/>
      <c r="O148"/>
      <c r="P148"/>
      <c r="Q148"/>
      <c r="R148"/>
      <c r="S148"/>
      <c r="T148"/>
    </row>
    <row r="149" spans="5:20">
      <c r="E149" s="65"/>
      <c r="I149" s="65"/>
      <c r="J149"/>
      <c r="K149"/>
      <c r="L149"/>
      <c r="M149"/>
      <c r="N149"/>
      <c r="O149"/>
      <c r="P149"/>
      <c r="Q149"/>
      <c r="R149"/>
      <c r="S149"/>
      <c r="T149"/>
    </row>
    <row r="150" spans="5:20">
      <c r="E150" s="65"/>
      <c r="I150" s="65"/>
      <c r="J150"/>
      <c r="K150"/>
      <c r="L150"/>
      <c r="M150"/>
      <c r="N150"/>
      <c r="O150"/>
      <c r="P150"/>
      <c r="Q150"/>
      <c r="R150"/>
      <c r="S150"/>
      <c r="T150"/>
    </row>
    <row r="151" spans="5:20">
      <c r="E151" s="65"/>
      <c r="I151" s="65"/>
      <c r="J151"/>
      <c r="K151"/>
      <c r="L151"/>
      <c r="M151"/>
      <c r="N151"/>
      <c r="O151"/>
      <c r="P151"/>
      <c r="Q151"/>
      <c r="R151"/>
      <c r="S151"/>
      <c r="T151"/>
    </row>
  </sheetData>
  <mergeCells count="2">
    <mergeCell ref="B2:E2"/>
    <mergeCell ref="J3:T3"/>
  </mergeCells>
  <pageMargins left="0.78749999999999998" right="0.78749999999999998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Q635"/>
  <sheetViews>
    <sheetView workbookViewId="0"/>
  </sheetViews>
  <sheetFormatPr defaultRowHeight="14.25"/>
  <sheetData>
    <row r="2" spans="1:95" ht="78.75">
      <c r="B2" s="236" t="s">
        <v>367</v>
      </c>
      <c r="C2" s="236"/>
      <c r="D2" s="236"/>
      <c r="E2" s="236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8"/>
    </row>
    <row r="3" spans="1:95" ht="15.75">
      <c r="B3" s="239"/>
      <c r="C3" s="239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BL3" s="1" t="s">
        <v>368</v>
      </c>
      <c r="BM3" s="1">
        <v>1</v>
      </c>
      <c r="BN3" s="1">
        <v>2</v>
      </c>
      <c r="BO3" s="1">
        <f t="shared" ref="BO3:CQ3" si="0">BN3+1</f>
        <v>3</v>
      </c>
      <c r="BP3" s="1">
        <f t="shared" si="0"/>
        <v>4</v>
      </c>
      <c r="BQ3" s="1">
        <f t="shared" si="0"/>
        <v>5</v>
      </c>
      <c r="BR3" s="1">
        <f t="shared" si="0"/>
        <v>6</v>
      </c>
      <c r="BS3" s="1">
        <f t="shared" si="0"/>
        <v>7</v>
      </c>
      <c r="BT3" s="1">
        <f t="shared" si="0"/>
        <v>8</v>
      </c>
      <c r="BU3" s="1">
        <f t="shared" si="0"/>
        <v>9</v>
      </c>
      <c r="BV3" s="1">
        <f t="shared" si="0"/>
        <v>10</v>
      </c>
      <c r="BW3" s="1">
        <f t="shared" si="0"/>
        <v>11</v>
      </c>
      <c r="BX3" s="1">
        <f t="shared" si="0"/>
        <v>12</v>
      </c>
      <c r="BY3" s="1">
        <f t="shared" si="0"/>
        <v>13</v>
      </c>
      <c r="BZ3" s="1">
        <f t="shared" si="0"/>
        <v>14</v>
      </c>
      <c r="CA3" s="1">
        <f t="shared" si="0"/>
        <v>15</v>
      </c>
      <c r="CB3" s="1">
        <f t="shared" si="0"/>
        <v>16</v>
      </c>
      <c r="CC3" s="1">
        <f t="shared" si="0"/>
        <v>17</v>
      </c>
      <c r="CD3" s="1">
        <f t="shared" si="0"/>
        <v>18</v>
      </c>
      <c r="CE3" s="1">
        <f t="shared" si="0"/>
        <v>19</v>
      </c>
      <c r="CF3" s="1">
        <f t="shared" si="0"/>
        <v>20</v>
      </c>
      <c r="CG3" s="1">
        <f t="shared" si="0"/>
        <v>21</v>
      </c>
      <c r="CH3" s="1">
        <f t="shared" si="0"/>
        <v>22</v>
      </c>
      <c r="CI3" s="1">
        <f t="shared" si="0"/>
        <v>23</v>
      </c>
      <c r="CJ3" s="1">
        <f t="shared" si="0"/>
        <v>24</v>
      </c>
      <c r="CK3" s="1">
        <f t="shared" si="0"/>
        <v>25</v>
      </c>
      <c r="CL3" s="1">
        <f t="shared" si="0"/>
        <v>26</v>
      </c>
      <c r="CM3" s="1">
        <f t="shared" si="0"/>
        <v>27</v>
      </c>
      <c r="CN3" s="1">
        <f t="shared" si="0"/>
        <v>28</v>
      </c>
      <c r="CO3" s="1">
        <f t="shared" si="0"/>
        <v>29</v>
      </c>
      <c r="CP3" s="1">
        <f t="shared" si="0"/>
        <v>30</v>
      </c>
      <c r="CQ3" s="1">
        <f t="shared" si="0"/>
        <v>31</v>
      </c>
    </row>
    <row r="4" spans="1:95" ht="25.5">
      <c r="A4" s="9"/>
      <c r="B4" s="240" t="s">
        <v>369</v>
      </c>
      <c r="C4" s="240"/>
      <c r="D4" s="240"/>
      <c r="E4" s="240"/>
      <c r="F4" s="240"/>
      <c r="G4" s="241" t="s">
        <v>370</v>
      </c>
      <c r="H4" s="241" t="s">
        <v>371</v>
      </c>
      <c r="I4" s="241"/>
      <c r="J4" s="242"/>
      <c r="K4" s="241" t="s">
        <v>370</v>
      </c>
      <c r="L4" s="241" t="s">
        <v>371</v>
      </c>
      <c r="M4" s="241"/>
      <c r="N4" s="242"/>
      <c r="O4" s="241" t="s">
        <v>370</v>
      </c>
      <c r="P4" s="241" t="s">
        <v>371</v>
      </c>
      <c r="Q4" s="241"/>
      <c r="R4" s="242"/>
      <c r="S4" s="241" t="s">
        <v>370</v>
      </c>
      <c r="T4" s="241" t="s">
        <v>371</v>
      </c>
      <c r="U4" s="243"/>
    </row>
    <row r="5" spans="1:95" ht="28.5">
      <c r="A5" s="9"/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3"/>
      <c r="BL5" s="245" t="s">
        <v>372</v>
      </c>
      <c r="BM5" s="245" t="s">
        <v>373</v>
      </c>
      <c r="BN5" s="246" t="s">
        <v>374</v>
      </c>
      <c r="BP5" s="1" t="s">
        <v>375</v>
      </c>
    </row>
    <row r="6" spans="1:95">
      <c r="A6" s="9">
        <v>1</v>
      </c>
      <c r="B6" s="247" t="s">
        <v>376</v>
      </c>
      <c r="C6" s="248" t="s">
        <v>377</v>
      </c>
      <c r="D6" s="248"/>
      <c r="E6" s="248"/>
      <c r="F6" s="249" t="s">
        <v>378</v>
      </c>
      <c r="G6" s="250" t="s">
        <v>379</v>
      </c>
      <c r="H6" s="251">
        <v>1</v>
      </c>
      <c r="I6" s="251"/>
      <c r="J6" s="249" t="s">
        <v>378</v>
      </c>
      <c r="K6" s="252" t="str">
        <f>IF(AND(G7="December",H7=31)," ",IF(VLOOKUP(G7,D!$G$5:$I$16,3,0)=H7,LOOKUP(VLOOKUP(G7,D!$G$4:$H$16,2,0)+1,D!$H$4:$H$16,D!$G$4:$G$16),G7))</f>
        <v>March</v>
      </c>
      <c r="L6" s="251">
        <f>IF(K6=" "," ",IF(K6=G7,H7+1,1))</f>
        <v>1</v>
      </c>
      <c r="M6" s="251"/>
      <c r="N6" s="249" t="s">
        <v>378</v>
      </c>
      <c r="O6" s="250" t="str">
        <f>IF(OR(K7=" ",AND(K7="December",L7=31))," ",IF(VLOOKUP(K7,D!$G$5:$I$16,3,0)=L7,LOOKUP(VLOOKUP(K7,D!$G$4:$H$16,2,0)+1,D!$H$4:$H$16,D!$G$4:$G$16),K7))</f>
        <v>May</v>
      </c>
      <c r="P6" s="251">
        <f>IF(O6=" "," ",IF(O6=K7,L7+1,1))</f>
        <v>1</v>
      </c>
      <c r="Q6" s="251"/>
      <c r="R6" s="249" t="s">
        <v>378</v>
      </c>
      <c r="S6" s="250" t="str">
        <f>IF(OR(O7=" ",AND(O7="December",P7=31))," ",IF(VLOOKUP(O7,D!$G$5:$I$16,3,0)=P7,LOOKUP(VLOOKUP(O7,D!$G$4:$H$16,2,0)+1,D!$H$4:$H$16,D!$G$4:$G$16),O7))</f>
        <v>June</v>
      </c>
      <c r="T6" s="251">
        <f>IF(S6=" "," ",IF(S6=O7,P7+1,1))</f>
        <v>8</v>
      </c>
      <c r="U6" s="243"/>
      <c r="W6" s="1" t="str">
        <f>" "</f>
        <v xml:space="preserve"> </v>
      </c>
      <c r="X6" s="1" t="str">
        <f>" "</f>
        <v xml:space="preserve"> </v>
      </c>
      <c r="Y6" s="1" t="str">
        <f>" "</f>
        <v xml:space="preserve"> </v>
      </c>
      <c r="Z6" s="1" t="str">
        <f>" "</f>
        <v xml:space="preserve"> </v>
      </c>
      <c r="AB6" s="253"/>
      <c r="AC6" s="253"/>
      <c r="BF6" s="254"/>
      <c r="BG6" s="254"/>
      <c r="BH6" s="254"/>
      <c r="BI6" s="254"/>
      <c r="BJ6" s="254"/>
      <c r="BL6" s="1" t="str">
        <f>" "</f>
        <v xml:space="preserve"> </v>
      </c>
      <c r="BM6" s="1" t="str">
        <f>""</f>
        <v/>
      </c>
      <c r="BN6" s="1" t="str">
        <f>" "</f>
        <v xml:space="preserve"> </v>
      </c>
      <c r="BP6" s="1" t="str">
        <f>" "</f>
        <v xml:space="preserve"> </v>
      </c>
    </row>
    <row r="7" spans="1:95" ht="28.5">
      <c r="A7" s="9"/>
      <c r="B7" s="247"/>
      <c r="C7" s="248"/>
      <c r="D7" s="248"/>
      <c r="E7" s="248"/>
      <c r="F7" s="255" t="s">
        <v>380</v>
      </c>
      <c r="G7" s="256" t="s">
        <v>381</v>
      </c>
      <c r="H7" s="257">
        <v>28</v>
      </c>
      <c r="I7" s="257"/>
      <c r="J7" s="255" t="s">
        <v>380</v>
      </c>
      <c r="K7" s="256" t="s">
        <v>382</v>
      </c>
      <c r="L7" s="257">
        <v>30</v>
      </c>
      <c r="M7" s="257"/>
      <c r="N7" s="255" t="s">
        <v>380</v>
      </c>
      <c r="O7" s="256" t="s">
        <v>383</v>
      </c>
      <c r="P7" s="257">
        <v>7</v>
      </c>
      <c r="Q7" s="257"/>
      <c r="R7" s="255" t="s">
        <v>380</v>
      </c>
      <c r="S7" s="256" t="s">
        <v>384</v>
      </c>
      <c r="T7" s="257">
        <v>31</v>
      </c>
      <c r="U7" s="243"/>
      <c r="W7" s="258" t="str">
        <f>IF(OR(AND(VLOOKUP(G6,D!$G$4:$I$17,2,0)=D!$H$5,H6=VLOOKUP(G6,D!$G$4:$I$17,3,0)),VLOOKUP(G6,D!$G$4:$I$17,2,0)&gt;D!$H$5),"",LOOKUP(D!$H$5,D!$H$4:$H$17,D!$G$4:$G$17))</f>
        <v>January</v>
      </c>
      <c r="X7" s="258" t="str">
        <f>IF(OR(AND(VLOOKUP(K6,D!$G$4:$I$17,2,0)=D!$H$5,L6=VLOOKUP(K6,D!$G$4:$I$17,3,0)),VLOOKUP(K6,D!$G$4:$I$17,2,0)&gt;D!$H$5),"",LOOKUP(D!$H$5,D!$H$4:$H$17,D!$G$4:$G$17))</f>
        <v/>
      </c>
      <c r="Y7" s="258" t="str">
        <f>IF(OR(AND(VLOOKUP(O6,D!$G$4:$I$17,2,0)=D!$H$5,P6=VLOOKUP(O6,D!$G$4:$I$17,3,0)),VLOOKUP(O6,D!$G$4:$I$17,2,0)&gt;D!$H$5),"",LOOKUP(D!$H$5,D!$H$4:$H$17,D!$G$4:$G$17))</f>
        <v/>
      </c>
      <c r="Z7" s="258" t="str">
        <f>IF(OR(AND(VLOOKUP(S6,D!$G$4:$I$17,2,0)=D!$H$5,T6=VLOOKUP(S6,D!$G$4:$I$17,3,0)),VLOOKUP(S6,D!$G$4:$I$17,2,0)&gt;D!$H$5),"",LOOKUP(D!$H$5,D!$H$4:$H$17,D!$G$4:$G$17))</f>
        <v/>
      </c>
      <c r="AB7" s="253">
        <f>IF(AND(NOT($G6=$G7),BM$3&lt;=VLOOKUP($G7,D!$G$5:$I$16,3,0)),BM$3,IF(AND($G6=$G7,$H6&lt;VLOOKUP($G7,D!$G$5:$I$16,3,0)),$H6+1,""))</f>
        <v>1</v>
      </c>
      <c r="AC7" s="253">
        <f>IF(AND(NOT($G6=$G7),BN$3&lt;=VLOOKUP($G7,D!$G$5:$I$16,3,0)),BN$3,IF(AND($G6=$G7,Y7&lt;VLOOKUP($G7,D!$G$5:$I$16,3,0),$H6&lt;Y7),Y7+1,""))</f>
        <v>2</v>
      </c>
      <c r="AD7" s="253">
        <f>IF(AND(NOT($G6=$G7),BO$3&lt;=VLOOKUP($G7,D!$G$5:$I$16,3,0)),BO$3,IF(AND($G6=$G7,Z7&lt;VLOOKUP($G7,D!$G$5:$I$16,3,0),$H6&lt;Z7),Z7+1,""))</f>
        <v>3</v>
      </c>
      <c r="AE7" s="253">
        <f>IF(AND(NOT($G6=$G7),BP$3&lt;=VLOOKUP($G7,D!$G$5:$I$16,3,0)),BP$3,IF(AND($G6=$G7,AD7&lt;VLOOKUP($G7,D!$G$5:$I$16,3,0),$H6&lt;AD7),AD7+1,""))</f>
        <v>4</v>
      </c>
      <c r="AF7" s="253">
        <f>IF(AND(NOT($G6=$G7),BQ$3&lt;=VLOOKUP($G7,D!$G$5:$I$16,3,0)),BQ$3,IF(AND($G6=$G7,AE7&lt;VLOOKUP($G7,D!$G$5:$I$16,3,0),$H6&lt;AE7),AE7+1,""))</f>
        <v>5</v>
      </c>
      <c r="AG7" s="253">
        <f>IF(AND(NOT($G6=$G7),BR$3&lt;=VLOOKUP($G7,D!$G$5:$I$16,3,0)),BR$3,IF(AND($G6=$G7,AF7&lt;VLOOKUP($G7,D!$G$5:$I$16,3,0),$H6&lt;AF7),AF7+1,""))</f>
        <v>6</v>
      </c>
      <c r="AH7" s="253">
        <f>IF(AND(NOT($G6=$G7),BS$3&lt;=VLOOKUP($G7,D!$G$5:$I$16,3,0)),BS$3,IF(AND($G6=$G7,AG7&lt;VLOOKUP($G7,D!$G$5:$I$16,3,0),$H6&lt;AG7),AG7+1,""))</f>
        <v>7</v>
      </c>
      <c r="AI7" s="253">
        <f>IF(AND(NOT($G6=$G7),BT$3&lt;=VLOOKUP($G7,D!$G$5:$I$16,3,0)),BT$3,IF(AND($G6=$G7,AH7&lt;VLOOKUP($G7,D!$G$5:$I$16,3,0),$H6&lt;AH7),AH7+1,""))</f>
        <v>8</v>
      </c>
      <c r="AJ7" s="253">
        <f>IF(AND(NOT($G6=$G7),BU$3&lt;=VLOOKUP($G7,D!$G$5:$I$16,3,0)),BU$3,IF(AND($G6=$G7,AI7&lt;VLOOKUP($G7,D!$G$5:$I$16,3,0),$H6&lt;AI7),AI7+1,""))</f>
        <v>9</v>
      </c>
      <c r="AK7" s="253">
        <f>IF(AND(NOT($G6=$G7),BV$3&lt;=VLOOKUP($G7,D!$G$5:$I$16,3,0)),BV$3,IF(AND($G6=$G7,AJ7&lt;VLOOKUP($G7,D!$G$5:$I$16,3,0),$H6&lt;AJ7),AJ7+1,""))</f>
        <v>10</v>
      </c>
      <c r="AL7" s="253">
        <f>IF(AND(NOT($G6=$G7),BW$3&lt;=VLOOKUP($G7,D!$G$5:$I$16,3,0)),BW$3,IF(AND($G6=$G7,AK7&lt;VLOOKUP($G7,D!$G$5:$I$16,3,0),$H6&lt;AK7),AK7+1,""))</f>
        <v>11</v>
      </c>
      <c r="AM7" s="253">
        <f>IF(AND(NOT($G6=$G7),BX$3&lt;=VLOOKUP($G7,D!$G$5:$I$16,3,0)),BX$3,IF(AND($G6=$G7,AL7&lt;VLOOKUP($G7,D!$G$5:$I$16,3,0),$H6&lt;AL7),AL7+1,""))</f>
        <v>12</v>
      </c>
      <c r="AN7" s="253">
        <f>IF(AND(NOT($G6=$G7),BY$3&lt;=VLOOKUP($G7,D!$G$5:$I$16,3,0)),BY$3,IF(AND($G6=$G7,AM7&lt;VLOOKUP($G7,D!$G$5:$I$16,3,0),$H6&lt;AM7),AM7+1,""))</f>
        <v>13</v>
      </c>
      <c r="AO7" s="253">
        <f>IF(AND(NOT($G6=$G7),BZ$3&lt;=VLOOKUP($G7,D!$G$5:$I$16,3,0)),BZ$3,IF(AND($G6=$G7,AN7&lt;VLOOKUP($G7,D!$G$5:$I$16,3,0),$H6&lt;AN7),AN7+1,""))</f>
        <v>14</v>
      </c>
      <c r="AP7" s="253">
        <f>IF(AND(NOT($G6=$G7),CA$3&lt;=VLOOKUP($G7,D!$G$5:$I$16,3,0)),CA$3,IF(AND($G6=$G7,AO7&lt;VLOOKUP($G7,D!$G$5:$I$16,3,0),$H6&lt;AO7),AO7+1,""))</f>
        <v>15</v>
      </c>
      <c r="AQ7" s="253">
        <f>IF(AND(NOT($G6=$G7),CB$3&lt;=VLOOKUP($G7,D!$G$5:$I$16,3,0)),CB$3,IF(AND($G6=$G7,AP7&lt;VLOOKUP($G7,D!$G$5:$I$16,3,0),$H6&lt;AP7),AP7+1,""))</f>
        <v>16</v>
      </c>
      <c r="AR7" s="253">
        <f>IF(AND(NOT($G6=$G7),CC$3&lt;=VLOOKUP($G7,D!$G$5:$I$16,3,0)),CC$3,IF(AND($G6=$G7,AQ7&lt;VLOOKUP($G7,D!$G$5:$I$16,3,0),$H6&lt;AQ7),AQ7+1,""))</f>
        <v>17</v>
      </c>
      <c r="AS7" s="253">
        <f>IF(AND(NOT($G6=$G7),CD$3&lt;=VLOOKUP($G7,D!$G$5:$I$16,3,0)),CD$3,IF(AND($G6=$G7,AR7&lt;VLOOKUP($G7,D!$G$5:$I$16,3,0),$H6&lt;AR7),AR7+1,""))</f>
        <v>18</v>
      </c>
      <c r="AT7" s="253">
        <f>IF(AND(NOT($G6=$G7),CE$3&lt;=VLOOKUP($G7,D!$G$5:$I$16,3,0)),CE$3,IF(AND($G6=$G7,AS7&lt;VLOOKUP($G7,D!$G$5:$I$16,3,0),$H6&lt;AS7),AS7+1,""))</f>
        <v>19</v>
      </c>
      <c r="AU7" s="253">
        <f>IF(AND(NOT($G6=$G7),CF$3&lt;=VLOOKUP($G7,D!$G$5:$I$16,3,0)),CF$3,IF(AND($G6=$G7,AT7&lt;VLOOKUP($G7,D!$G$5:$I$16,3,0),$H6&lt;AT7),AT7+1,""))</f>
        <v>20</v>
      </c>
      <c r="AV7" s="253">
        <f>IF(AND(NOT($G6=$G7),CG$3&lt;=VLOOKUP($G7,D!$G$5:$I$16,3,0)),CG$3,IF(AND($G6=$G7,AU7&lt;VLOOKUP($G7,D!$G$5:$I$16,3,0),$H6&lt;AU7),AU7+1,""))</f>
        <v>21</v>
      </c>
      <c r="AW7" s="253">
        <f>IF(AND(NOT($G6=$G7),CH$3&lt;=VLOOKUP($G7,D!$G$5:$I$16,3,0)),CH$3,IF(AND($G6=$G7,AV7&lt;VLOOKUP($G7,D!$G$5:$I$16,3,0),$H6&lt;AV7),AV7+1,""))</f>
        <v>22</v>
      </c>
      <c r="AX7" s="253">
        <f>IF(AND(NOT($G6=$G7),CI$3&lt;=VLOOKUP($G7,D!$G$5:$I$16,3,0)),CI$3,IF(AND($G6=$G7,AW7&lt;VLOOKUP($G7,D!$G$5:$I$16,3,0),$H6&lt;AW7),AW7+1,""))</f>
        <v>23</v>
      </c>
      <c r="AY7" s="253">
        <f>IF(AND(NOT($G6=$G7),CJ$3&lt;=VLOOKUP($G7,D!$G$5:$I$16,3,0)),CJ$3,IF(AND($G6=$G7,AX7&lt;VLOOKUP($G7,D!$G$5:$I$16,3,0),$H6&lt;AX7),AX7+1,""))</f>
        <v>24</v>
      </c>
      <c r="AZ7" s="253">
        <f>IF(AND(NOT($G6=$G7),CK$3&lt;=VLOOKUP($G7,D!$G$5:$I$16,3,0)),CK$3,IF(AND($G6=$G7,AY7&lt;VLOOKUP($G7,D!$G$5:$I$16,3,0),$H6&lt;AY7),AY7+1,""))</f>
        <v>25</v>
      </c>
      <c r="BA7" s="253">
        <f>IF(AND(NOT($G6=$G7),CL$3&lt;=VLOOKUP($G7,D!$G$5:$I$16,3,0)),CL$3,IF(AND($G6=$G7,AZ7&lt;VLOOKUP($G7,D!$G$5:$I$16,3,0),$H6&lt;AZ7),AZ7+1,""))</f>
        <v>26</v>
      </c>
      <c r="BB7" s="253">
        <f>IF(AND(NOT($G6=$G7),CM$3&lt;=VLOOKUP($G7,D!$G$5:$I$16,3,0)),CM$3,IF(AND($G6=$G7,BA7&lt;VLOOKUP($G7,D!$G$5:$I$16,3,0),$H6&lt;BA7),BA7+1,""))</f>
        <v>27</v>
      </c>
      <c r="BC7" s="253">
        <f>IF(AND(NOT($G6=$G7),CN$3&lt;=VLOOKUP($G7,D!$G$5:$I$16,3,0)),CN$3,IF(AND($G6=$G7,BB7&lt;VLOOKUP($G7,D!$G$5:$I$16,3,0),$H6&lt;BB7),BB7+1,""))</f>
        <v>28</v>
      </c>
      <c r="BD7" s="253" t="str">
        <f>IF(AND(NOT($G6=$G7),CO$3&lt;=VLOOKUP($G7,D!$G$5:$I$16,3,0)),CO$3,IF(AND($G6=$G7,BC7&lt;VLOOKUP($G7,D!$G$5:$I$16,3,0),$H6&lt;BC7),BC7+1,""))</f>
        <v/>
      </c>
      <c r="BE7" s="253" t="str">
        <f>IF(AND(NOT($G6=$G7),CP$3&lt;=VLOOKUP($G7,D!$G$5:$I$16,3,0)),CP$3,IF(AND($G6=$G7,BD7&lt;VLOOKUP($G7,D!$G$5:$I$16,3,0),$H6&lt;BD7),BD7+1,""))</f>
        <v/>
      </c>
      <c r="BF7" s="253" t="str">
        <f>IF(AND(NOT($G6=$G7),CQ$3&lt;=VLOOKUP($G7,D!$G$5:$I$16,3,0)),CQ$3,IF(AND($G6=$G7,BE7&lt;VLOOKUP($G7,D!$G$5:$I$16,3,0),$H6&lt;BE7),BE7+1,""))</f>
        <v/>
      </c>
      <c r="BG7" s="259"/>
      <c r="BH7" s="259"/>
      <c r="BI7" s="259"/>
      <c r="BJ7" s="259"/>
      <c r="BK7" s="1">
        <v>1</v>
      </c>
      <c r="BL7" s="1" t="s">
        <v>385</v>
      </c>
      <c r="BM7" s="1" t="str">
        <f>" "</f>
        <v xml:space="preserve"> </v>
      </c>
      <c r="BN7" s="1" t="s">
        <v>386</v>
      </c>
      <c r="BP7" s="1" t="str">
        <f>IF(DAY_SCH!A5="","",DAY_SCH!A5)</f>
        <v>ALWAYS 100% Day Sch</v>
      </c>
    </row>
    <row r="8" spans="1:95">
      <c r="A8" s="9"/>
      <c r="B8" s="260"/>
      <c r="C8" s="261" t="str">
        <f>IF(ISNA(VLOOKUP(C6,$BP$6:$BP$206,1,0)),"",IF(VLOOKUP(C6,$BP$6:$BP$206,1,0)="","","Schedules and Day Schedules can't have same name!"))</f>
        <v/>
      </c>
      <c r="D8" s="261"/>
      <c r="E8" s="261"/>
      <c r="F8" s="262"/>
      <c r="G8" s="263" t="str">
        <f>IF(OR(H7&gt;VLOOKUP(G7,D!$G$4:$I$16,3,0),AND(G7=G6,H7&lt;=H6),VLOOKUP(G7,D!$G$4:$H$16,2,0)&lt;VLOOKUP(G6,D!$G$4:$H$16,2,0)),"Must correct date!","")</f>
        <v/>
      </c>
      <c r="H8" s="263"/>
      <c r="I8" s="264"/>
      <c r="J8" s="262"/>
      <c r="K8" s="263" t="str">
        <f>IF(AND(K7=" ",K6=" "),"",IF(OR(L7&gt;VLOOKUP(K7,D!$G$4:$I$16,3,0),AND(K7=K6,L7&lt;=L6),VLOOKUP(K7,D!$G$4:$H$16,2,0)&lt;VLOOKUP(K6,D!$G$4:$H$16,2,0)),"Must correct date!",""))</f>
        <v/>
      </c>
      <c r="L8" s="263"/>
      <c r="M8" s="264"/>
      <c r="N8" s="262"/>
      <c r="O8" s="263" t="str">
        <f>IF(AND(O7=" ",O6=" "),"",IF(OR(P7&gt;VLOOKUP(O7,D!$G$4:$I$16,3,0),AND(O7=O6,P7&lt;=P6),VLOOKUP(O7,D!$G$4:$H$16,2,0)&lt;VLOOKUP(O6,D!$G$4:$H$16,2,0)),"Must correct date!",""))</f>
        <v/>
      </c>
      <c r="P8" s="263"/>
      <c r="Q8" s="264"/>
      <c r="R8" s="262"/>
      <c r="S8" s="265" t="str">
        <f>IF(AND(S7=" ",S6=" "),"",IF(OR(T7&gt;VLOOKUP(S7,D!$G$4:$I$16,3,0),AND(S7=S6,T7&lt;=T6),VLOOKUP(S7,D!$G$4:$H$16,2,0)&lt;VLOOKUP(S6,D!$G$4:$H$16,2,0)),"Must correct date!",""))</f>
        <v/>
      </c>
      <c r="T8" s="265"/>
      <c r="U8" s="243"/>
      <c r="W8" s="258" t="str">
        <f>IF(OR(AND(VLOOKUP(G6,D!$G$4:$I$17,2,0)=D!$H$6,H6=VLOOKUP(G6,D!$G$4:$I$17,3,0)),VLOOKUP(G6,D!$G$4:$I$17,2,0)&gt;D!$H$6),"",LOOKUP(D!$H$6,D!$H$4:$H$17,D!$G$4:$G$17))</f>
        <v>February</v>
      </c>
      <c r="X8" s="258" t="str">
        <f>IF(OR(AND(VLOOKUP(K6,D!$G$4:$I$17,2,0)=D!$H$6,L6=VLOOKUP(K6,D!$G$4:$I$17,3,0)),VLOOKUP(K6,D!$G$4:$I$17,2,0)&gt;D!$H$6),"",LOOKUP(D!$H$6,D!$H$4:$H$17,D!$G$4:$G$17))</f>
        <v/>
      </c>
      <c r="Y8" s="258" t="str">
        <f>IF(OR(AND(VLOOKUP(O6,D!$G$4:$I$17,2,0)=D!$H$6,P6=VLOOKUP(O6,D!$G$4:$I$17,3,0)),VLOOKUP(O6,D!$G$4:$I$17,2,0)&gt;D!$H$6),"",LOOKUP(D!$H$6,D!$H$4:$H$17,D!$G$4:$G$17))</f>
        <v/>
      </c>
      <c r="Z8" s="258" t="str">
        <f>IF(OR(AND(VLOOKUP(S6,D!$G$4:$I$17,2,0)=D!$H$6,T6=VLOOKUP(S6,D!$G$4:$I$17,3,0)),VLOOKUP(S6,D!$G$4:$I$17,2,0)&gt;D!$H$6),"",LOOKUP(D!$H$6,D!$H$4:$H$17,D!$G$4:$G$17))</f>
        <v/>
      </c>
      <c r="AA8" s="1" t="str">
        <f>" "</f>
        <v xml:space="preserve"> </v>
      </c>
      <c r="AB8" s="253">
        <f>IF(AND(NOT($K6=$K7),BM$3&lt;=VLOOKUP($K7,D!$G$5:$I$16,3,0)),BM$3,IF(AND($K6=$K7,$L6&lt;VLOOKUP($K7,D!$G$5:$I$16,3,0)),$L6+1,""))</f>
        <v>1</v>
      </c>
      <c r="AC8" s="253">
        <f>IF(AND(NOT($K6=$K7),BN$3&lt;=VLOOKUP($K7,D!$G$5:$I$16,3,0)),BN$3,IF(AND($K6=$K7,AB8&lt;VLOOKUP($K7,D!$G$5:$I$16,3,0),$L6&lt;AB8),AB8+1,""))</f>
        <v>2</v>
      </c>
      <c r="AD8" s="253">
        <f>IF(AND(NOT($K6=$K7),BO$3&lt;=VLOOKUP($K7,D!$G$5:$I$16,3,0)),BO$3,IF(AND($K6=$K7,AC8&lt;VLOOKUP($K7,D!$G$5:$I$16,3,0),$L6&lt;AC8),AC8+1,""))</f>
        <v>3</v>
      </c>
      <c r="AE8" s="253">
        <f>IF(AND(NOT($K6=$K7),BP$3&lt;=VLOOKUP($K7,D!$G$5:$I$16,3,0)),BP$3,IF(AND($K6=$K7,AD8&lt;VLOOKUP($K7,D!$G$5:$I$16,3,0),$L6&lt;AD8),AD8+1,""))</f>
        <v>4</v>
      </c>
      <c r="AF8" s="253">
        <f>IF(AND(NOT($K6=$K7),BQ$3&lt;=VLOOKUP($K7,D!$G$5:$I$16,3,0)),BQ$3,IF(AND($K6=$K7,AE8&lt;VLOOKUP($K7,D!$G$5:$I$16,3,0),$L6&lt;AE8),AE8+1,""))</f>
        <v>5</v>
      </c>
      <c r="AG8" s="253">
        <f>IF(AND(NOT($K6=$K7),BR$3&lt;=VLOOKUP($K7,D!$G$5:$I$16,3,0)),BR$3,IF(AND($K6=$K7,AF8&lt;VLOOKUP($K7,D!$G$5:$I$16,3,0),$L6&lt;AF8),AF8+1,""))</f>
        <v>6</v>
      </c>
      <c r="AH8" s="253">
        <f>IF(AND(NOT($K6=$K7),BS$3&lt;=VLOOKUP($K7,D!$G$5:$I$16,3,0)),BS$3,IF(AND($K6=$K7,AG8&lt;VLOOKUP($K7,D!$G$5:$I$16,3,0),$L6&lt;AG8),AG8+1,""))</f>
        <v>7</v>
      </c>
      <c r="AI8" s="253">
        <f>IF(AND(NOT($K6=$K7),BT$3&lt;=VLOOKUP($K7,D!$G$5:$I$16,3,0)),BT$3,IF(AND($K6=$K7,AH8&lt;VLOOKUP($K7,D!$G$5:$I$16,3,0),$L6&lt;AH8),AH8+1,""))</f>
        <v>8</v>
      </c>
      <c r="AJ8" s="253">
        <f>IF(AND(NOT($K6=$K7),BU$3&lt;=VLOOKUP($K7,D!$G$5:$I$16,3,0)),BU$3,IF(AND($K6=$K7,AI8&lt;VLOOKUP($K7,D!$G$5:$I$16,3,0),$L6&lt;AI8),AI8+1,""))</f>
        <v>9</v>
      </c>
      <c r="AK8" s="253">
        <f>IF(AND(NOT($K6=$K7),BV$3&lt;=VLOOKUP($K7,D!$G$5:$I$16,3,0)),BV$3,IF(AND($K6=$K7,AJ8&lt;VLOOKUP($K7,D!$G$5:$I$16,3,0),$L6&lt;AJ8),AJ8+1,""))</f>
        <v>10</v>
      </c>
      <c r="AL8" s="253">
        <f>IF(AND(NOT($K6=$K7),BW$3&lt;=VLOOKUP($K7,D!$G$5:$I$16,3,0)),BW$3,IF(AND($K6=$K7,AK8&lt;VLOOKUP($K7,D!$G$5:$I$16,3,0),$L6&lt;AK8),AK8+1,""))</f>
        <v>11</v>
      </c>
      <c r="AM8" s="253">
        <f>IF(AND(NOT($K6=$K7),BX$3&lt;=VLOOKUP($K7,D!$G$5:$I$16,3,0)),BX$3,IF(AND($K6=$K7,AL8&lt;VLOOKUP($K7,D!$G$5:$I$16,3,0),$L6&lt;AL8),AL8+1,""))</f>
        <v>12</v>
      </c>
      <c r="AN8" s="253">
        <f>IF(AND(NOT($K6=$K7),BY$3&lt;=VLOOKUP($K7,D!$G$5:$I$16,3,0)),BY$3,IF(AND($K6=$K7,AM8&lt;VLOOKUP($K7,D!$G$5:$I$16,3,0),$L6&lt;AM8),AM8+1,""))</f>
        <v>13</v>
      </c>
      <c r="AO8" s="253">
        <f>IF(AND(NOT($K6=$K7),BZ$3&lt;=VLOOKUP($K7,D!$G$5:$I$16,3,0)),BZ$3,IF(AND($K6=$K7,AN8&lt;VLOOKUP($K7,D!$G$5:$I$16,3,0),$L6&lt;AN8),AN8+1,""))</f>
        <v>14</v>
      </c>
      <c r="AP8" s="253">
        <f>IF(AND(NOT($K6=$K7),CA$3&lt;=VLOOKUP($K7,D!$G$5:$I$16,3,0)),CA$3,IF(AND($K6=$K7,AO8&lt;VLOOKUP($K7,D!$G$5:$I$16,3,0),$L6&lt;AO8),AO8+1,""))</f>
        <v>15</v>
      </c>
      <c r="AQ8" s="253">
        <f>IF(AND(NOT($K6=$K7),CB$3&lt;=VLOOKUP($K7,D!$G$5:$I$16,3,0)),CB$3,IF(AND($K6=$K7,AP8&lt;VLOOKUP($K7,D!$G$5:$I$16,3,0),$L6&lt;AP8),AP8+1,""))</f>
        <v>16</v>
      </c>
      <c r="AR8" s="253">
        <f>IF(AND(NOT($K6=$K7),CC$3&lt;=VLOOKUP($K7,D!$G$5:$I$16,3,0)),CC$3,IF(AND($K6=$K7,AQ8&lt;VLOOKUP($K7,D!$G$5:$I$16,3,0),$L6&lt;AQ8),AQ8+1,""))</f>
        <v>17</v>
      </c>
      <c r="AS8" s="253">
        <f>IF(AND(NOT($K6=$K7),CD$3&lt;=VLOOKUP($K7,D!$G$5:$I$16,3,0)),CD$3,IF(AND($K6=$K7,AR8&lt;VLOOKUP($K7,D!$G$5:$I$16,3,0),$L6&lt;AR8),AR8+1,""))</f>
        <v>18</v>
      </c>
      <c r="AT8" s="253">
        <f>IF(AND(NOT($K6=$K7),CE$3&lt;=VLOOKUP($K7,D!$G$5:$I$16,3,0)),CE$3,IF(AND($K6=$K7,AS8&lt;VLOOKUP($K7,D!$G$5:$I$16,3,0),$L6&lt;AS8),AS8+1,""))</f>
        <v>19</v>
      </c>
      <c r="AU8" s="253">
        <f>IF(AND(NOT($K6=$K7),CF$3&lt;=VLOOKUP($K7,D!$G$5:$I$16,3,0)),CF$3,IF(AND($K6=$K7,AT8&lt;VLOOKUP($K7,D!$G$5:$I$16,3,0),$L6&lt;AT8),AT8+1,""))</f>
        <v>20</v>
      </c>
      <c r="AV8" s="253">
        <f>IF(AND(NOT($K6=$K7),CG$3&lt;=VLOOKUP($K7,D!$G$5:$I$16,3,0)),CG$3,IF(AND($K6=$K7,AU8&lt;VLOOKUP($K7,D!$G$5:$I$16,3,0),$L6&lt;AU8),AU8+1,""))</f>
        <v>21</v>
      </c>
      <c r="AW8" s="253">
        <f>IF(AND(NOT($K6=$K7),CH$3&lt;=VLOOKUP($K7,D!$G$5:$I$16,3,0)),CH$3,IF(AND($K6=$K7,AV8&lt;VLOOKUP($K7,D!$G$5:$I$16,3,0),$L6&lt;AV8),AV8+1,""))</f>
        <v>22</v>
      </c>
      <c r="AX8" s="253">
        <f>IF(AND(NOT($K6=$K7),CI$3&lt;=VLOOKUP($K7,D!$G$5:$I$16,3,0)),CI$3,IF(AND($K6=$K7,AW8&lt;VLOOKUP($K7,D!$G$5:$I$16,3,0),$L6&lt;AW8),AW8+1,""))</f>
        <v>23</v>
      </c>
      <c r="AY8" s="253">
        <f>IF(AND(NOT($K6=$K7),CJ$3&lt;=VLOOKUP($K7,D!$G$5:$I$16,3,0)),CJ$3,IF(AND($K6=$K7,AX8&lt;VLOOKUP($K7,D!$G$5:$I$16,3,0),$L6&lt;AX8),AX8+1,""))</f>
        <v>24</v>
      </c>
      <c r="AZ8" s="253">
        <f>IF(AND(NOT($K6=$K7),CK$3&lt;=VLOOKUP($K7,D!$G$5:$I$16,3,0)),CK$3,IF(AND($K6=$K7,AY8&lt;VLOOKUP($K7,D!$G$5:$I$16,3,0),$L6&lt;AY8),AY8+1,""))</f>
        <v>25</v>
      </c>
      <c r="BA8" s="253">
        <f>IF(AND(NOT($K6=$K7),CL$3&lt;=VLOOKUP($K7,D!$G$5:$I$16,3,0)),CL$3,IF(AND($K6=$K7,AZ8&lt;VLOOKUP($K7,D!$G$5:$I$16,3,0),$L6&lt;AZ8),AZ8+1,""))</f>
        <v>26</v>
      </c>
      <c r="BB8" s="253">
        <f>IF(AND(NOT($K6=$K7),CM$3&lt;=VLOOKUP($K7,D!$G$5:$I$16,3,0)),CM$3,IF(AND($K6=$K7,BA8&lt;VLOOKUP($K7,D!$G$5:$I$16,3,0),$L6&lt;BA8),BA8+1,""))</f>
        <v>27</v>
      </c>
      <c r="BC8" s="253">
        <f>IF(AND(NOT($K6=$K7),CN$3&lt;=VLOOKUP($K7,D!$G$5:$I$16,3,0)),CN$3,IF(AND($K6=$K7,BB8&lt;VLOOKUP($K7,D!$G$5:$I$16,3,0),$L6&lt;BB8),BB8+1,""))</f>
        <v>28</v>
      </c>
      <c r="BD8" s="253">
        <f>IF(AND(NOT($K6=$K7),CO$3&lt;=VLOOKUP($K7,D!$G$5:$I$16,3,0)),CO$3,IF(AND($K6=$K7,BC8&lt;VLOOKUP($K7,D!$G$5:$I$16,3,0),$L6&lt;BC8),BC8+1,""))</f>
        <v>29</v>
      </c>
      <c r="BE8" s="253">
        <f>IF(AND(NOT($K6=$K7),CP$3&lt;=VLOOKUP($K7,D!$G$5:$I$16,3,0)),CP$3,IF(AND($K6=$K7,BD8&lt;VLOOKUP($K7,D!$G$5:$I$16,3,0),$L6&lt;BD8),BD8+1,""))</f>
        <v>30</v>
      </c>
      <c r="BF8" s="253" t="str">
        <f>IF(AND(NOT($K6=$K7),CQ$3&lt;=VLOOKUP($K7,D!$G$5:$I$16,3,0)),CQ$3,IF(AND($K6=$K7,BE8&lt;VLOOKUP($K7,D!$G$5:$I$16,3,0),$L6&lt;BE8),BE8+1,""))</f>
        <v/>
      </c>
      <c r="BG8" s="266"/>
      <c r="BH8" s="266"/>
      <c r="BI8" s="266"/>
      <c r="BJ8" s="266"/>
      <c r="BK8" s="1">
        <v>2</v>
      </c>
      <c r="BL8" s="1" t="s">
        <v>387</v>
      </c>
      <c r="BM8" s="1" t="s">
        <v>386</v>
      </c>
      <c r="BN8" s="1" t="s">
        <v>388</v>
      </c>
      <c r="BP8" s="1" t="str">
        <f>IF(DAY_SCH!A6="","",DAY_SCH!A6)</f>
        <v>ALWAYS 0% Day Sch</v>
      </c>
      <c r="BX8" s="235" t="s">
        <v>93</v>
      </c>
      <c r="BY8" s="1" t="str">
        <f>" "</f>
        <v xml:space="preserve"> </v>
      </c>
    </row>
    <row r="9" spans="1:95">
      <c r="A9" s="9"/>
      <c r="B9" s="260"/>
      <c r="C9" s="261"/>
      <c r="D9" s="261"/>
      <c r="E9" s="261"/>
      <c r="F9" s="267" t="s">
        <v>389</v>
      </c>
      <c r="G9" s="268" t="s">
        <v>390</v>
      </c>
      <c r="H9" s="268"/>
      <c r="I9" s="269"/>
      <c r="J9" s="267" t="str">
        <f t="shared" ref="J9:J18" si="1">$F9</f>
        <v>SUN:</v>
      </c>
      <c r="K9" s="268"/>
      <c r="L9" s="268"/>
      <c r="M9" s="269"/>
      <c r="N9" s="267" t="s">
        <v>389</v>
      </c>
      <c r="O9" s="268"/>
      <c r="P9" s="268"/>
      <c r="Q9" s="269"/>
      <c r="R9" s="267" t="s">
        <v>391</v>
      </c>
      <c r="S9" s="270"/>
      <c r="T9" s="270"/>
      <c r="U9" s="243"/>
      <c r="W9" s="258" t="str">
        <f>IF(OR(AND(VLOOKUP(G6,D!$G$4:$I$17,2,0)=D!$H$7,H6=VLOOKUP(G6,D!$G$4:$I$17,3,0)),VLOOKUP(G6,D!$G$4:$I$17,2,0)&gt;D!$H$7),"",LOOKUP(D!$H$7,D!$H$4:$H$17,D!$G$4:$G$17))</f>
        <v>March</v>
      </c>
      <c r="X9" s="258" t="str">
        <f>IF(OR(AND(VLOOKUP(K6,D!$G$4:$I$17,2,0)=D!$H$7,L6=VLOOKUP(K6,D!$G$4:$I$17,3,0)),VLOOKUP(K6,D!$G$4:$I$17,2,0)&gt;D!$H$7),"",LOOKUP(D!$H$7,D!$H$4:$H$17,D!$G$4:$G$17))</f>
        <v>March</v>
      </c>
      <c r="Y9" s="258" t="str">
        <f>IF(OR(AND(VLOOKUP(O6,D!$G$4:$I$17,2,0)=D!$H$7,P6=VLOOKUP(O6,D!$G$4:$I$17,3,0)),VLOOKUP(O6,D!$G$4:$I$17,2,0)&gt;D!$H$7),"",LOOKUP(D!$H$7,D!$H$4:$H$17,D!$G$4:$G$17))</f>
        <v/>
      </c>
      <c r="Z9" s="258" t="str">
        <f>IF(OR(AND(VLOOKUP(S6,D!$G$4:$I$17,2,0)=D!$H$7,T6=VLOOKUP(S6,D!$G$4:$I$17,3,0)),VLOOKUP(S6,D!$G$4:$I$17,2,0)&gt;D!$H$7),"",LOOKUP(D!$H$7,D!$H$4:$H$17,D!$G$4:$G$17))</f>
        <v/>
      </c>
      <c r="AA9" s="1" t="str">
        <f>" "</f>
        <v xml:space="preserve"> </v>
      </c>
      <c r="AB9" s="253">
        <f>IF(AND(NOT($O6=$O7),BM$3&lt;=VLOOKUP($O7,D!$G$5:$I$16,3,0)),BM$3,IF(AND($O6=$O7,$P6&lt;VLOOKUP($O7,D!$G$5:$I$16,3,0)),$P6+1,""))</f>
        <v>1</v>
      </c>
      <c r="AC9" s="253">
        <f>IF(AND(NOT($O6=$O7),BN$3&lt;=VLOOKUP($O7,D!$G$5:$I$16,3,0)),BN$3,IF(AND($O6=$O7,AB9&lt;VLOOKUP($O7,D!$G$5:$I$16,3,0),$P6&lt;AB9),AB9+1,""))</f>
        <v>2</v>
      </c>
      <c r="AD9" s="253">
        <f>IF(AND(NOT($O6=$O7),BO$3&lt;=VLOOKUP($O7,D!$G$5:$I$16,3,0)),BO$3,IF(AND($O6=$O7,AC9&lt;VLOOKUP($O7,D!$G$5:$I$16,3,0),$P6&lt;AC9),AC9+1,""))</f>
        <v>3</v>
      </c>
      <c r="AE9" s="253">
        <f>IF(AND(NOT($O6=$O7),BP$3&lt;=VLOOKUP($O7,D!$G$5:$I$16,3,0)),BP$3,IF(AND($O6=$O7,AD9&lt;VLOOKUP($O7,D!$G$5:$I$16,3,0),$P6&lt;AD9),AD9+1,""))</f>
        <v>4</v>
      </c>
      <c r="AF9" s="253">
        <f>IF(AND(NOT($O6=$O7),BQ$3&lt;=VLOOKUP($O7,D!$G$5:$I$16,3,0)),BQ$3,IF(AND($O6=$O7,AE9&lt;VLOOKUP($O7,D!$G$5:$I$16,3,0),$P6&lt;AE9),AE9+1,""))</f>
        <v>5</v>
      </c>
      <c r="AG9" s="253">
        <f>IF(AND(NOT($O6=$O7),BR$3&lt;=VLOOKUP($O7,D!$G$5:$I$16,3,0)),BR$3,IF(AND($O6=$O7,AF9&lt;VLOOKUP($O7,D!$G$5:$I$16,3,0),$P6&lt;AF9),AF9+1,""))</f>
        <v>6</v>
      </c>
      <c r="AH9" s="253">
        <f>IF(AND(NOT($O6=$O7),BS$3&lt;=VLOOKUP($O7,D!$G$5:$I$16,3,0)),BS$3,IF(AND($O6=$O7,AG9&lt;VLOOKUP($O7,D!$G$5:$I$16,3,0),$P6&lt;AG9),AG9+1,""))</f>
        <v>7</v>
      </c>
      <c r="AI9" s="253">
        <f>IF(AND(NOT($O6=$O7),BT$3&lt;=VLOOKUP($O7,D!$G$5:$I$16,3,0)),BT$3,IF(AND($O6=$O7,AH9&lt;VLOOKUP($O7,D!$G$5:$I$16,3,0),$P6&lt;AH9),AH9+1,""))</f>
        <v>8</v>
      </c>
      <c r="AJ9" s="253">
        <f>IF(AND(NOT($O6=$O7),BU$3&lt;=VLOOKUP($O7,D!$G$5:$I$16,3,0)),BU$3,IF(AND($O6=$O7,AI9&lt;VLOOKUP($O7,D!$G$5:$I$16,3,0),$P6&lt;AI9),AI9+1,""))</f>
        <v>9</v>
      </c>
      <c r="AK9" s="253">
        <f>IF(AND(NOT($O6=$O7),BV$3&lt;=VLOOKUP($O7,D!$G$5:$I$16,3,0)),BV$3,IF(AND($O6=$O7,AJ9&lt;VLOOKUP($O7,D!$G$5:$I$16,3,0),$P6&lt;AJ9),AJ9+1,""))</f>
        <v>10</v>
      </c>
      <c r="AL9" s="253">
        <f>IF(AND(NOT($O6=$O7),BW$3&lt;=VLOOKUP($O7,D!$G$5:$I$16,3,0)),BW$3,IF(AND($O6=$O7,AK9&lt;VLOOKUP($O7,D!$G$5:$I$16,3,0),$P6&lt;AK9),AK9+1,""))</f>
        <v>11</v>
      </c>
      <c r="AM9" s="253">
        <f>IF(AND(NOT($O6=$O7),BX$3&lt;=VLOOKUP($O7,D!$G$5:$I$16,3,0)),BX$3,IF(AND($O6=$O7,AL9&lt;VLOOKUP($O7,D!$G$5:$I$16,3,0),$P6&lt;AL9),AL9+1,""))</f>
        <v>12</v>
      </c>
      <c r="AN9" s="253">
        <f>IF(AND(NOT($O6=$O7),BY$3&lt;=VLOOKUP($O7,D!$G$5:$I$16,3,0)),BY$3,IF(AND($O6=$O7,AM9&lt;VLOOKUP($O7,D!$G$5:$I$16,3,0),$P6&lt;AM9),AM9+1,""))</f>
        <v>13</v>
      </c>
      <c r="AO9" s="253">
        <f>IF(AND(NOT($O6=$O7),BZ$3&lt;=VLOOKUP($O7,D!$G$5:$I$16,3,0)),BZ$3,IF(AND($O6=$O7,AN9&lt;VLOOKUP($O7,D!$G$5:$I$16,3,0),$P6&lt;AN9),AN9+1,""))</f>
        <v>14</v>
      </c>
      <c r="AP9" s="253">
        <f>IF(AND(NOT($O6=$O7),CA$3&lt;=VLOOKUP($O7,D!$G$5:$I$16,3,0)),CA$3,IF(AND($O6=$O7,AO9&lt;VLOOKUP($O7,D!$G$5:$I$16,3,0),$P6&lt;AO9),AO9+1,""))</f>
        <v>15</v>
      </c>
      <c r="AQ9" s="253">
        <f>IF(AND(NOT($O6=$O7),CB$3&lt;=VLOOKUP($O7,D!$G$5:$I$16,3,0)),CB$3,IF(AND($O6=$O7,AP9&lt;VLOOKUP($O7,D!$G$5:$I$16,3,0),$P6&lt;AP9),AP9+1,""))</f>
        <v>16</v>
      </c>
      <c r="AR9" s="253">
        <f>IF(AND(NOT($O6=$O7),CC$3&lt;=VLOOKUP($O7,D!$G$5:$I$16,3,0)),CC$3,IF(AND($O6=$O7,AQ9&lt;VLOOKUP($O7,D!$G$5:$I$16,3,0),$P6&lt;AQ9),AQ9+1,""))</f>
        <v>17</v>
      </c>
      <c r="AS9" s="253">
        <f>IF(AND(NOT($O6=$O7),CD$3&lt;=VLOOKUP($O7,D!$G$5:$I$16,3,0)),CD$3,IF(AND($O6=$O7,AR9&lt;VLOOKUP($O7,D!$G$5:$I$16,3,0),$P6&lt;AR9),AR9+1,""))</f>
        <v>18</v>
      </c>
      <c r="AT9" s="253">
        <f>IF(AND(NOT($O6=$O7),CE$3&lt;=VLOOKUP($O7,D!$G$5:$I$16,3,0)),CE$3,IF(AND($O6=$O7,AS9&lt;VLOOKUP($O7,D!$G$5:$I$16,3,0),$P6&lt;AS9),AS9+1,""))</f>
        <v>19</v>
      </c>
      <c r="AU9" s="253">
        <f>IF(AND(NOT($O6=$O7),CF$3&lt;=VLOOKUP($O7,D!$G$5:$I$16,3,0)),CF$3,IF(AND($O6=$O7,AT9&lt;VLOOKUP($O7,D!$G$5:$I$16,3,0),$P6&lt;AT9),AT9+1,""))</f>
        <v>20</v>
      </c>
      <c r="AV9" s="253">
        <f>IF(AND(NOT($O6=$O7),CG$3&lt;=VLOOKUP($O7,D!$G$5:$I$16,3,0)),CG$3,IF(AND($O6=$O7,AU9&lt;VLOOKUP($O7,D!$G$5:$I$16,3,0),$P6&lt;AU9),AU9+1,""))</f>
        <v>21</v>
      </c>
      <c r="AW9" s="253">
        <f>IF(AND(NOT($O6=$O7),CH$3&lt;=VLOOKUP($O7,D!$G$5:$I$16,3,0)),CH$3,IF(AND($O6=$O7,AV9&lt;VLOOKUP($O7,D!$G$5:$I$16,3,0),$P6&lt;AV9),AV9+1,""))</f>
        <v>22</v>
      </c>
      <c r="AX9" s="253">
        <f>IF(AND(NOT($O6=$O7),CI$3&lt;=VLOOKUP($O7,D!$G$5:$I$16,3,0)),CI$3,IF(AND($O6=$O7,AW9&lt;VLOOKUP($O7,D!$G$5:$I$16,3,0),$P6&lt;AW9),AW9+1,""))</f>
        <v>23</v>
      </c>
      <c r="AY9" s="253">
        <f>IF(AND(NOT($O6=$O7),CJ$3&lt;=VLOOKUP($O7,D!$G$5:$I$16,3,0)),CJ$3,IF(AND($O6=$O7,AX9&lt;VLOOKUP($O7,D!$G$5:$I$16,3,0),$P6&lt;AX9),AX9+1,""))</f>
        <v>24</v>
      </c>
      <c r="AZ9" s="253">
        <f>IF(AND(NOT($O6=$O7),CK$3&lt;=VLOOKUP($O7,D!$G$5:$I$16,3,0)),CK$3,IF(AND($O6=$O7,AY9&lt;VLOOKUP($O7,D!$G$5:$I$16,3,0),$P6&lt;AY9),AY9+1,""))</f>
        <v>25</v>
      </c>
      <c r="BA9" s="253">
        <f>IF(AND(NOT($O6=$O7),CL$3&lt;=VLOOKUP($O7,D!$G$5:$I$16,3,0)),CL$3,IF(AND($O6=$O7,AZ9&lt;VLOOKUP($O7,D!$G$5:$I$16,3,0),$P6&lt;AZ9),AZ9+1,""))</f>
        <v>26</v>
      </c>
      <c r="BB9" s="253">
        <f>IF(AND(NOT($O6=$O7),CM$3&lt;=VLOOKUP($O7,D!$G$5:$I$16,3,0)),CM$3,IF(AND($O6=$O7,BA9&lt;VLOOKUP($O7,D!$G$5:$I$16,3,0),$P6&lt;BA9),BA9+1,""))</f>
        <v>27</v>
      </c>
      <c r="BC9" s="253">
        <f>IF(AND(NOT($O6=$O7),CN$3&lt;=VLOOKUP($O7,D!$G$5:$I$16,3,0)),CN$3,IF(AND($O6=$O7,BB9&lt;VLOOKUP($O7,D!$G$5:$I$16,3,0),$P6&lt;BB9),BB9+1,""))</f>
        <v>28</v>
      </c>
      <c r="BD9" s="253">
        <f>IF(AND(NOT($O6=$O7),CO$3&lt;=VLOOKUP($O7,D!$G$5:$I$16,3,0)),CO$3,IF(AND($O6=$O7,BC9&lt;VLOOKUP($O7,D!$G$5:$I$16,3,0),$P6&lt;BC9),BC9+1,""))</f>
        <v>29</v>
      </c>
      <c r="BE9" s="253">
        <f>IF(AND(NOT($O6=$O7),CP$3&lt;=VLOOKUP($O7,D!$G$5:$I$16,3,0)),CP$3,IF(AND($O6=$O7,BD9&lt;VLOOKUP($O7,D!$G$5:$I$16,3,0),$P6&lt;BD9),BD9+1,""))</f>
        <v>30</v>
      </c>
      <c r="BF9" s="253" t="str">
        <f>IF(AND(NOT($O6=$O7),CQ$3&lt;=VLOOKUP($O7,D!$G$5:$I$16,3,0)),CQ$3,IF(AND($O6=$O7,BE9&lt;VLOOKUP($O7,D!$G$5:$I$16,3,0),$P6&lt;BE9),BE9+1,""))</f>
        <v/>
      </c>
      <c r="BG9" s="266"/>
      <c r="BH9" s="266"/>
      <c r="BI9" s="266"/>
      <c r="BJ9" s="266"/>
      <c r="BK9" s="1">
        <f t="shared" ref="BK9:BK37" si="2">BK8+1</f>
        <v>3</v>
      </c>
      <c r="BL9" s="1" t="s">
        <v>392</v>
      </c>
      <c r="BM9" s="1" t="s">
        <v>386</v>
      </c>
      <c r="BN9" s="1" t="s">
        <v>393</v>
      </c>
      <c r="BP9" s="1" t="str">
        <f>IF(DAY_SCH!A7="","",DAY_SCH!A7)</f>
        <v>ALWAYS ON Day Sch</v>
      </c>
      <c r="BY9" s="1" t="s">
        <v>394</v>
      </c>
    </row>
    <row r="10" spans="1:95">
      <c r="A10" s="9"/>
      <c r="B10" s="260"/>
      <c r="C10" s="271" t="s">
        <v>395</v>
      </c>
      <c r="D10" s="262"/>
      <c r="E10" s="262"/>
      <c r="F10" s="267" t="s">
        <v>396</v>
      </c>
      <c r="G10" s="268" t="s">
        <v>390</v>
      </c>
      <c r="H10" s="268"/>
      <c r="I10" s="264"/>
      <c r="J10" s="267" t="str">
        <f t="shared" si="1"/>
        <v>MON:</v>
      </c>
      <c r="K10" s="268"/>
      <c r="L10" s="268"/>
      <c r="M10" s="269"/>
      <c r="N10" s="267" t="s">
        <v>396</v>
      </c>
      <c r="O10" s="268"/>
      <c r="P10" s="268"/>
      <c r="Q10" s="269"/>
      <c r="R10" s="267" t="s">
        <v>397</v>
      </c>
      <c r="S10" s="270"/>
      <c r="T10" s="270"/>
      <c r="U10" s="243"/>
      <c r="W10" s="258" t="str">
        <f>IF(OR(AND(VLOOKUP(G6,D!$G$4:$I$17,2,0)=D!$H$8,H6=VLOOKUP(G6,D!$G$4:$I$17,3,0)),VLOOKUP(G6,D!$G$4:$I$17,2,0)&gt;D!$H$8),"",LOOKUP(D!$H$8,D!$H$4:$H$17,D!$G$4:$G$17))</f>
        <v>April</v>
      </c>
      <c r="X10" s="258" t="str">
        <f>IF(OR(AND(VLOOKUP(K6,D!$G$4:$I$17,2,0)=D!$H$8,L6=VLOOKUP(K6,D!$G$4:$I$17,3,0)),VLOOKUP(K6,D!$G$4:$I$17,2,0)&gt;D!$H$8),"",LOOKUP(D!$H$8,D!$H$4:$H$17,D!$G$4:$G$17))</f>
        <v>April</v>
      </c>
      <c r="Y10" s="258" t="str">
        <f>IF(OR(AND(VLOOKUP(O6,D!$G$4:$I$17,2,0)=D!$H$8,P6=VLOOKUP(O6,D!$G$4:$I$17,3,0)),VLOOKUP(O6,D!$G$4:$I$17,2,0)&gt;D!$H$8),"",LOOKUP(D!$H$8,D!$H$4:$H$17,D!$G$4:$G$17))</f>
        <v/>
      </c>
      <c r="Z10" s="258" t="str">
        <f>IF(OR(AND(VLOOKUP(S6,D!$G$4:$I$17,2,0)=D!$H$8,T6=VLOOKUP(S6,D!$G$4:$I$17,3,0)),VLOOKUP(S6,D!$G$4:$I$17,2,0)&gt;D!$H$8),"",LOOKUP(D!$H$8,D!$H$4:$H$17,D!$G$4:$G$17))</f>
        <v/>
      </c>
      <c r="AA10" s="1" t="str">
        <f>" "</f>
        <v xml:space="preserve"> </v>
      </c>
      <c r="AB10" s="253">
        <f>IF(AND(NOT($S6=$S7),BM$3&lt;=VLOOKUP($S7,D!$G$5:$I$16,3,0)),BM$3,IF(AND($S6=$S7,$T6&lt;VLOOKUP($S7,D!$G$5:$I$16,3,0)),$T6+1,""))</f>
        <v>1</v>
      </c>
      <c r="AC10" s="253">
        <f>IF(AND(NOT($S6=$S7),BN$3&lt;=VLOOKUP($S7,D!$G$5:$I$16,3,0)),BN$3,IF(AND($S6=$S7,AB10&lt;VLOOKUP($S7,D!$G$5:$I$16,3,0),$T6&lt;AB10),AB10+1,""))</f>
        <v>2</v>
      </c>
      <c r="AD10" s="253">
        <f>IF(AND(NOT($S6=$S7),BO$3&lt;=VLOOKUP($S7,D!$G$5:$I$16,3,0)),BO$3,IF(AND($S6=$S7,AC10&lt;VLOOKUP($S7,D!$G$5:$I$16,3,0),$T6&lt;AC10),AC10+1,""))</f>
        <v>3</v>
      </c>
      <c r="AE10" s="253">
        <f>IF(AND(NOT($S6=$S7),BP$3&lt;=VLOOKUP($S7,D!$G$5:$I$16,3,0)),BP$3,IF(AND($S6=$S7,AD10&lt;VLOOKUP($S7,D!$G$5:$I$16,3,0),$T6&lt;AD10),AD10+1,""))</f>
        <v>4</v>
      </c>
      <c r="AF10" s="253">
        <f>IF(AND(NOT($S6=$S7),BQ$3&lt;=VLOOKUP($S7,D!$G$5:$I$16,3,0)),BQ$3,IF(AND($S6=$S7,AE10&lt;VLOOKUP($S7,D!$G$5:$I$16,3,0),$T6&lt;AE10),AE10+1,""))</f>
        <v>5</v>
      </c>
      <c r="AG10" s="253">
        <f>IF(AND(NOT($S6=$S7),BR$3&lt;=VLOOKUP($S7,D!$G$5:$I$16,3,0)),BR$3,IF(AND($S6=$S7,AF10&lt;VLOOKUP($S7,D!$G$5:$I$16,3,0),$T6&lt;AF10),AF10+1,""))</f>
        <v>6</v>
      </c>
      <c r="AH10" s="253">
        <f>IF(AND(NOT($S6=$S7),BS$3&lt;=VLOOKUP($S7,D!$G$5:$I$16,3,0)),BS$3,IF(AND($S6=$S7,AG10&lt;VLOOKUP($S7,D!$G$5:$I$16,3,0),$T6&lt;AG10),AG10+1,""))</f>
        <v>7</v>
      </c>
      <c r="AI10" s="253">
        <f>IF(AND(NOT($S6=$S7),BT$3&lt;=VLOOKUP($S7,D!$G$5:$I$16,3,0)),BT$3,IF(AND($S6=$S7,AH10&lt;VLOOKUP($S7,D!$G$5:$I$16,3,0),$T6&lt;AH10),AH10+1,""))</f>
        <v>8</v>
      </c>
      <c r="AJ10" s="253">
        <f>IF(AND(NOT($S6=$S7),BU$3&lt;=VLOOKUP($S7,D!$G$5:$I$16,3,0)),BU$3,IF(AND($S6=$S7,AI10&lt;VLOOKUP($S7,D!$G$5:$I$16,3,0),$T6&lt;AI10),AI10+1,""))</f>
        <v>9</v>
      </c>
      <c r="AK10" s="253">
        <f>IF(AND(NOT($S6=$S7),BV$3&lt;=VLOOKUP($S7,D!$G$5:$I$16,3,0)),BV$3,IF(AND($S6=$S7,AJ10&lt;VLOOKUP($S7,D!$G$5:$I$16,3,0),$T6&lt;AJ10),AJ10+1,""))</f>
        <v>10</v>
      </c>
      <c r="AL10" s="253">
        <f>IF(AND(NOT($S6=$S7),BW$3&lt;=VLOOKUP($S7,D!$G$5:$I$16,3,0)),BW$3,IF(AND($S6=$S7,AK10&lt;VLOOKUP($S7,D!$G$5:$I$16,3,0),$T6&lt;AK10),AK10+1,""))</f>
        <v>11</v>
      </c>
      <c r="AM10" s="253">
        <f>IF(AND(NOT($S6=$S7),BX$3&lt;=VLOOKUP($S7,D!$G$5:$I$16,3,0)),BX$3,IF(AND($S6=$S7,AL10&lt;VLOOKUP($S7,D!$G$5:$I$16,3,0),$T6&lt;AL10),AL10+1,""))</f>
        <v>12</v>
      </c>
      <c r="AN10" s="253">
        <f>IF(AND(NOT($S6=$S7),BY$3&lt;=VLOOKUP($S7,D!$G$5:$I$16,3,0)),BY$3,IF(AND($S6=$S7,AM10&lt;VLOOKUP($S7,D!$G$5:$I$16,3,0),$T6&lt;AM10),AM10+1,""))</f>
        <v>13</v>
      </c>
      <c r="AO10" s="253">
        <f>IF(AND(NOT($S6=$S7),BZ$3&lt;=VLOOKUP($S7,D!$G$5:$I$16,3,0)),BZ$3,IF(AND($S6=$S7,AN10&lt;VLOOKUP($S7,D!$G$5:$I$16,3,0),$T6&lt;AN10),AN10+1,""))</f>
        <v>14</v>
      </c>
      <c r="AP10" s="253">
        <f>IF(AND(NOT($S6=$S7),CA$3&lt;=VLOOKUP($S7,D!$G$5:$I$16,3,0)),CA$3,IF(AND($S6=$S7,AO10&lt;VLOOKUP($S7,D!$G$5:$I$16,3,0),$T6&lt;AO10),AO10+1,""))</f>
        <v>15</v>
      </c>
      <c r="AQ10" s="253">
        <f>IF(AND(NOT($S6=$S7),CB$3&lt;=VLOOKUP($S7,D!$G$5:$I$16,3,0)),CB$3,IF(AND($S6=$S7,AP10&lt;VLOOKUP($S7,D!$G$5:$I$16,3,0),$T6&lt;AP10),AP10+1,""))</f>
        <v>16</v>
      </c>
      <c r="AR10" s="253">
        <f>IF(AND(NOT($S6=$S7),CC$3&lt;=VLOOKUP($S7,D!$G$5:$I$16,3,0)),CC$3,IF(AND($S6=$S7,AQ10&lt;VLOOKUP($S7,D!$G$5:$I$16,3,0),$T6&lt;AQ10),AQ10+1,""))</f>
        <v>17</v>
      </c>
      <c r="AS10" s="253">
        <f>IF(AND(NOT($S6=$S7),CD$3&lt;=VLOOKUP($S7,D!$G$5:$I$16,3,0)),CD$3,IF(AND($S6=$S7,AR10&lt;VLOOKUP($S7,D!$G$5:$I$16,3,0),$T6&lt;AR10),AR10+1,""))</f>
        <v>18</v>
      </c>
      <c r="AT10" s="253">
        <f>IF(AND(NOT($S6=$S7),CE$3&lt;=VLOOKUP($S7,D!$G$5:$I$16,3,0)),CE$3,IF(AND($S6=$S7,AS10&lt;VLOOKUP($S7,D!$G$5:$I$16,3,0),$T6&lt;AS10),AS10+1,""))</f>
        <v>19</v>
      </c>
      <c r="AU10" s="253">
        <f>IF(AND(NOT($S6=$S7),CF$3&lt;=VLOOKUP($S7,D!$G$5:$I$16,3,0)),CF$3,IF(AND($S6=$S7,AT10&lt;VLOOKUP($S7,D!$G$5:$I$16,3,0),$T6&lt;AT10),AT10+1,""))</f>
        <v>20</v>
      </c>
      <c r="AV10" s="253">
        <f>IF(AND(NOT($S6=$S7),CG$3&lt;=VLOOKUP($S7,D!$G$5:$I$16,3,0)),CG$3,IF(AND($S6=$S7,AU10&lt;VLOOKUP($S7,D!$G$5:$I$16,3,0),$T6&lt;AU10),AU10+1,""))</f>
        <v>21</v>
      </c>
      <c r="AW10" s="253">
        <f>IF(AND(NOT($S6=$S7),CH$3&lt;=VLOOKUP($S7,D!$G$5:$I$16,3,0)),CH$3,IF(AND($S6=$S7,AV10&lt;VLOOKUP($S7,D!$G$5:$I$16,3,0),$T6&lt;AV10),AV10+1,""))</f>
        <v>22</v>
      </c>
      <c r="AX10" s="253">
        <f>IF(AND(NOT($S6=$S7),CI$3&lt;=VLOOKUP($S7,D!$G$5:$I$16,3,0)),CI$3,IF(AND($S6=$S7,AW10&lt;VLOOKUP($S7,D!$G$5:$I$16,3,0),$T6&lt;AW10),AW10+1,""))</f>
        <v>23</v>
      </c>
      <c r="AY10" s="253">
        <f>IF(AND(NOT($S6=$S7),CJ$3&lt;=VLOOKUP($S7,D!$G$5:$I$16,3,0)),CJ$3,IF(AND($S6=$S7,AX10&lt;VLOOKUP($S7,D!$G$5:$I$16,3,0),$T6&lt;AX10),AX10+1,""))</f>
        <v>24</v>
      </c>
      <c r="AZ10" s="253">
        <f>IF(AND(NOT($S6=$S7),CK$3&lt;=VLOOKUP($S7,D!$G$5:$I$16,3,0)),CK$3,IF(AND($S6=$S7,AY10&lt;VLOOKUP($S7,D!$G$5:$I$16,3,0),$T6&lt;AY10),AY10+1,""))</f>
        <v>25</v>
      </c>
      <c r="BA10" s="253">
        <f>IF(AND(NOT($S6=$S7),CL$3&lt;=VLOOKUP($S7,D!$G$5:$I$16,3,0)),CL$3,IF(AND($S6=$S7,AZ10&lt;VLOOKUP($S7,D!$G$5:$I$16,3,0),$T6&lt;AZ10),AZ10+1,""))</f>
        <v>26</v>
      </c>
      <c r="BB10" s="253">
        <f>IF(AND(NOT($S6=$S7),CM$3&lt;=VLOOKUP($S7,D!$G$5:$I$16,3,0)),CM$3,IF(AND($S6=$S7,BA10&lt;VLOOKUP($S7,D!$G$5:$I$16,3,0),$T6&lt;BA10),BA10+1,""))</f>
        <v>27</v>
      </c>
      <c r="BC10" s="253">
        <f>IF(AND(NOT($S6=$S7),CN$3&lt;=VLOOKUP($S7,D!$G$5:$I$16,3,0)),CN$3,IF(AND($S6=$S7,BB10&lt;VLOOKUP($S7,D!$G$5:$I$16,3,0),$T6&lt;BB10),BB10+1,""))</f>
        <v>28</v>
      </c>
      <c r="BD10" s="253">
        <f>IF(AND(NOT($S6=$S7),CO$3&lt;=VLOOKUP($S7,D!$G$5:$I$16,3,0)),CO$3,IF(AND($S6=$S7,BC10&lt;VLOOKUP($S7,D!$G$5:$I$16,3,0),$T6&lt;BC10),BC10+1,""))</f>
        <v>29</v>
      </c>
      <c r="BE10" s="253">
        <f>IF(AND(NOT($S6=$S7),CP$3&lt;=VLOOKUP($S7,D!$G$5:$I$16,3,0)),CP$3,IF(AND($S6=$S7,BD10&lt;VLOOKUP($S7,D!$G$5:$I$16,3,0),$T6&lt;BD10),BD10+1,""))</f>
        <v>30</v>
      </c>
      <c r="BF10" s="253">
        <f>IF(AND(NOT($S6=$S7),CQ$3&lt;=VLOOKUP($S7,D!$G$5:$I$16,3,0)),CQ$3,IF(AND($S6=$S7,BE10&lt;VLOOKUP($S7,D!$G$5:$I$16,3,0),$T6&lt;BE10),BE10+1,""))</f>
        <v>31</v>
      </c>
      <c r="BG10" s="266"/>
      <c r="BH10" s="266"/>
      <c r="BI10" s="266"/>
      <c r="BJ10" s="266"/>
      <c r="BK10" s="1">
        <f t="shared" si="2"/>
        <v>4</v>
      </c>
      <c r="BL10" s="1" t="s">
        <v>398</v>
      </c>
      <c r="BM10" s="1" t="s">
        <v>386</v>
      </c>
      <c r="BN10" s="1" t="s">
        <v>399</v>
      </c>
      <c r="BP10" s="1" t="str">
        <f>IF(DAY_SCH!A8="","",DAY_SCH!A8)</f>
        <v>ALWAYS OFF Day Sch</v>
      </c>
      <c r="BY10" s="1" t="s">
        <v>400</v>
      </c>
    </row>
    <row r="11" spans="1:95">
      <c r="A11" s="9"/>
      <c r="B11" s="260"/>
      <c r="C11" s="272" t="s">
        <v>401</v>
      </c>
      <c r="D11" s="272"/>
      <c r="E11" s="272"/>
      <c r="F11" s="267" t="s">
        <v>402</v>
      </c>
      <c r="G11" s="268" t="s">
        <v>390</v>
      </c>
      <c r="H11" s="268"/>
      <c r="I11" s="264"/>
      <c r="J11" s="267" t="str">
        <f t="shared" si="1"/>
        <v>TUE:</v>
      </c>
      <c r="K11" s="268"/>
      <c r="L11" s="268"/>
      <c r="M11" s="269"/>
      <c r="N11" s="267" t="s">
        <v>402</v>
      </c>
      <c r="O11" s="268"/>
      <c r="P11" s="268"/>
      <c r="Q11" s="269"/>
      <c r="R11" s="267" t="s">
        <v>403</v>
      </c>
      <c r="S11" s="270"/>
      <c r="T11" s="270"/>
      <c r="U11" s="243"/>
      <c r="W11" s="258" t="str">
        <f>IF(OR(AND(VLOOKUP(G6,D!$G$4:$I$17,2,0)=D!$H$9,H6=VLOOKUP(G6,D!$G$4:$I$17,3,0)),VLOOKUP(G6,D!$G$4:$I$17,2,0)&gt;D!$H$9),"",LOOKUP(D!$H$9,D!$H$4:$H$17,D!$G$4:$G$17))</f>
        <v>May</v>
      </c>
      <c r="X11" s="258" t="str">
        <f>IF(OR(AND(VLOOKUP(K6,D!$G$4:$I$17,2,0)=D!$H$9,L6=VLOOKUP(K6,D!$G$4:$I$17,3,0)),VLOOKUP(K6,D!$G$4:$I$17,2,0)&gt;D!$H$9),"",LOOKUP(D!$H$9,D!$H$4:$H$17,D!$G$4:$G$17))</f>
        <v>May</v>
      </c>
      <c r="Y11" s="258" t="str">
        <f>IF(OR(AND(VLOOKUP(O6,D!$G$4:$I$17,2,0)=D!$H$9,P6=VLOOKUP(O6,D!$G$4:$I$17,3,0)),VLOOKUP(O6,D!$G$4:$I$17,2,0)&gt;D!$H$9),"",LOOKUP(D!$H$9,D!$H$4:$H$17,D!$G$4:$G$17))</f>
        <v>May</v>
      </c>
      <c r="Z11" s="258" t="str">
        <f>IF(OR(AND(VLOOKUP(S6,D!$G$4:$I$17,2,0)=D!$H$9,T6=VLOOKUP(S6,D!$G$4:$I$17,3,0)),VLOOKUP(S6,D!$G$4:$I$17,2,0)&gt;D!$H$9),"",LOOKUP(D!$H$9,D!$H$4:$H$17,D!$G$4:$G$17))</f>
        <v/>
      </c>
      <c r="AN11" s="273"/>
      <c r="AO11" s="273"/>
      <c r="AP11" s="273"/>
      <c r="AR11" s="273"/>
      <c r="AS11" s="273"/>
      <c r="AT11" s="273"/>
      <c r="AV11" s="273"/>
      <c r="AW11" s="273"/>
      <c r="AX11" s="273"/>
      <c r="AZ11" s="273"/>
      <c r="BA11" s="273"/>
      <c r="BB11" s="273"/>
      <c r="BC11" s="266"/>
      <c r="BD11" s="266"/>
      <c r="BE11" s="266"/>
      <c r="BF11" s="266"/>
      <c r="BG11" s="266"/>
      <c r="BH11" s="266"/>
      <c r="BI11" s="266"/>
      <c r="BJ11" s="266"/>
      <c r="BK11" s="1">
        <f t="shared" si="2"/>
        <v>5</v>
      </c>
      <c r="BL11" s="1" t="s">
        <v>404</v>
      </c>
      <c r="BM11" s="1" t="s">
        <v>386</v>
      </c>
      <c r="BN11" s="1" t="s">
        <v>405</v>
      </c>
      <c r="BP11" s="1" t="str">
        <f>IF(DAY_SCH!A9="","",DAY_SCH!A9)</f>
        <v>TYPE A LGT All</v>
      </c>
      <c r="BY11" s="1" t="s">
        <v>406</v>
      </c>
    </row>
    <row r="12" spans="1:95">
      <c r="A12" s="9"/>
      <c r="B12" s="260"/>
      <c r="C12" s="272"/>
      <c r="D12" s="272"/>
      <c r="E12" s="272"/>
      <c r="F12" s="267" t="s">
        <v>407</v>
      </c>
      <c r="G12" s="268" t="s">
        <v>390</v>
      </c>
      <c r="H12" s="268"/>
      <c r="I12" s="264"/>
      <c r="J12" s="267" t="str">
        <f t="shared" si="1"/>
        <v>WED:</v>
      </c>
      <c r="K12" s="268"/>
      <c r="L12" s="268"/>
      <c r="M12" s="269"/>
      <c r="N12" s="267" t="s">
        <v>407</v>
      </c>
      <c r="O12" s="268"/>
      <c r="P12" s="268"/>
      <c r="Q12" s="269"/>
      <c r="R12" s="267" t="s">
        <v>408</v>
      </c>
      <c r="S12" s="270"/>
      <c r="T12" s="270"/>
      <c r="U12" s="243"/>
      <c r="W12" s="258" t="str">
        <f>IF(OR(AND(VLOOKUP(G6,D!$G$4:$I$17,2,0)=D!$H$10,H6=VLOOKUP(G6,D!$G$4:$I$17,3,0)),VLOOKUP(G6,D!$G$4:$I$17,2,0)&gt;D!$H$10),"",LOOKUP(D!$H$10,D!$H$4:$H$17,D!$G$4:$G$17))</f>
        <v>June</v>
      </c>
      <c r="X12" s="258" t="str">
        <f>IF(OR(AND(VLOOKUP(K6,D!$G$4:$I$17,2,0)=D!$H$10,L6=VLOOKUP(K6,D!$G$4:$I$17,3,0)),VLOOKUP(K6,D!$G$4:$I$17,2,0)&gt;D!$H$10),"",LOOKUP(D!$H$10,D!$H$4:$H$17,D!$G$4:$G$17))</f>
        <v>June</v>
      </c>
      <c r="Y12" s="258" t="str">
        <f>IF(OR(AND(VLOOKUP(O6,D!$G$4:$I$17,2,0)=D!$H$10,P6=VLOOKUP(O6,D!$G$4:$I$17,3,0)),VLOOKUP(O6,D!$G$4:$I$17,2,0)&gt;D!$H$10),"",LOOKUP(D!$H$10,D!$H$4:$H$17,D!$G$4:$G$17))</f>
        <v>June</v>
      </c>
      <c r="Z12" s="258" t="str">
        <f>IF(OR(AND(VLOOKUP(S6,D!$G$4:$I$17,2,0)=D!$H$10,T6=VLOOKUP(S6,D!$G$4:$I$17,3,0)),VLOOKUP(S6,D!$G$4:$I$17,2,0)&gt;D!$H$10),"",LOOKUP(D!$H$10,D!$H$4:$H$17,D!$G$4:$G$17))</f>
        <v>June</v>
      </c>
      <c r="AN12" s="273"/>
      <c r="AO12" s="273"/>
      <c r="AP12" s="273"/>
      <c r="AR12" s="273"/>
      <c r="AS12" s="273"/>
      <c r="AT12" s="273"/>
      <c r="AV12" s="273"/>
      <c r="AW12" s="273"/>
      <c r="AX12" s="273"/>
      <c r="AZ12" s="273"/>
      <c r="BA12" s="273"/>
      <c r="BB12" s="273"/>
      <c r="BC12" s="266"/>
      <c r="BD12" s="266"/>
      <c r="BE12" s="266"/>
      <c r="BF12" s="266"/>
      <c r="BG12" s="266"/>
      <c r="BH12" s="266"/>
      <c r="BI12" s="266"/>
      <c r="BJ12" s="266"/>
      <c r="BK12" s="1">
        <f t="shared" si="2"/>
        <v>6</v>
      </c>
      <c r="BL12" s="1" t="s">
        <v>409</v>
      </c>
      <c r="BM12" s="1" t="s">
        <v>388</v>
      </c>
      <c r="BP12" s="1" t="str">
        <f>IF(DAY_SCH!A10="","",DAY_SCH!A10)</f>
        <v>TYPE A EQP All</v>
      </c>
    </row>
    <row r="13" spans="1:95" ht="24">
      <c r="A13" s="9"/>
      <c r="B13" s="260"/>
      <c r="C13" s="274" t="s">
        <v>410</v>
      </c>
      <c r="D13" s="274"/>
      <c r="E13" s="262"/>
      <c r="F13" s="267" t="s">
        <v>411</v>
      </c>
      <c r="G13" s="268" t="s">
        <v>390</v>
      </c>
      <c r="H13" s="268"/>
      <c r="I13" s="264"/>
      <c r="J13" s="267" t="str">
        <f t="shared" si="1"/>
        <v>THU:</v>
      </c>
      <c r="K13" s="268"/>
      <c r="L13" s="268"/>
      <c r="M13" s="269"/>
      <c r="N13" s="267" t="s">
        <v>411</v>
      </c>
      <c r="O13" s="268"/>
      <c r="P13" s="268"/>
      <c r="Q13" s="269"/>
      <c r="R13" s="267" t="s">
        <v>412</v>
      </c>
      <c r="S13" s="270"/>
      <c r="T13" s="270"/>
      <c r="U13" s="243"/>
      <c r="W13" s="258" t="str">
        <f>IF(OR(AND(VLOOKUP(G6,D!$G$4:$I$17,2,0)=D!$H$11,H6=VLOOKUP(G6,D!$G$4:$I$17,3,0)),VLOOKUP(G6,D!$G$4:$I$17,2,0)&gt;D!$H$11),"",LOOKUP(D!$H$11,D!$H$4:$H$17,D!$G$4:$G$17))</f>
        <v>July</v>
      </c>
      <c r="X13" s="258" t="str">
        <f>IF(OR(AND(VLOOKUP(K6,D!$G$4:$I$17,2,0)=D!$H$11,L6=VLOOKUP(K6,D!$G$4:$I$17,3,0)),VLOOKUP(K6,D!$G$4:$I$17,2,0)&gt;D!$H$11),"",LOOKUP(D!$H$11,D!$H$4:$H$17,D!$G$4:$G$17))</f>
        <v>July</v>
      </c>
      <c r="Y13" s="258" t="str">
        <f>IF(OR(AND(VLOOKUP(O6,D!$G$4:$I$17,2,0)=D!$H$11,P6=VLOOKUP(O6,D!$G$4:$I$17,3,0)),VLOOKUP(O6,D!$G$4:$I$17,2,0)&gt;D!$H$11),"",LOOKUP(D!$H$11,D!$H$4:$H$17,D!$G$4:$G$17))</f>
        <v>July</v>
      </c>
      <c r="Z13" s="258" t="str">
        <f>IF(OR(AND(VLOOKUP(S6,D!$G$4:$I$17,2,0)=D!$H$11,T6=VLOOKUP(S6,D!$G$4:$I$17,3,0)),VLOOKUP(S6,D!$G$4:$I$17,2,0)&gt;D!$H$11),"",LOOKUP(D!$H$11,D!$H$4:$H$17,D!$G$4:$G$17))</f>
        <v>July</v>
      </c>
      <c r="AN13" s="273"/>
      <c r="AO13" s="273"/>
      <c r="AP13" s="273"/>
      <c r="AR13" s="273"/>
      <c r="AS13" s="273"/>
      <c r="AT13" s="273"/>
      <c r="AV13" s="273"/>
      <c r="AW13" s="273"/>
      <c r="AX13" s="273"/>
      <c r="AZ13" s="273"/>
      <c r="BA13" s="273"/>
      <c r="BB13" s="273"/>
      <c r="BC13" s="266"/>
      <c r="BD13" s="266"/>
      <c r="BE13" s="266"/>
      <c r="BF13" s="266"/>
      <c r="BG13" s="266"/>
      <c r="BH13" s="266"/>
      <c r="BI13" s="266"/>
      <c r="BJ13" s="266"/>
      <c r="BK13" s="1">
        <f t="shared" si="2"/>
        <v>7</v>
      </c>
      <c r="BL13" s="1" t="s">
        <v>413</v>
      </c>
      <c r="BM13" s="1" t="s">
        <v>388</v>
      </c>
      <c r="BP13" s="1" t="str">
        <f>IF(DAY_SCH!A11="","",DAY_SCH!A11)</f>
        <v>TYPE A OCC All</v>
      </c>
    </row>
    <row r="14" spans="1:95">
      <c r="A14" s="9"/>
      <c r="B14" s="260"/>
      <c r="C14" s="274"/>
      <c r="D14" s="274"/>
      <c r="E14" s="262"/>
      <c r="F14" s="267" t="s">
        <v>414</v>
      </c>
      <c r="G14" s="268" t="s">
        <v>390</v>
      </c>
      <c r="H14" s="268"/>
      <c r="I14" s="264"/>
      <c r="J14" s="267" t="str">
        <f t="shared" si="1"/>
        <v>FRI:</v>
      </c>
      <c r="K14" s="268"/>
      <c r="L14" s="268"/>
      <c r="M14" s="269"/>
      <c r="N14" s="267" t="s">
        <v>414</v>
      </c>
      <c r="O14" s="268"/>
      <c r="P14" s="268"/>
      <c r="Q14" s="269"/>
      <c r="R14" s="267" t="s">
        <v>415</v>
      </c>
      <c r="S14" s="270"/>
      <c r="T14" s="270"/>
      <c r="U14" s="243"/>
      <c r="W14" s="258" t="str">
        <f>IF(OR(AND(VLOOKUP(G6,D!$G$4:$I$17,2,0)=D!$H$12,H6=VLOOKUP(G6,D!$G$4:$I$17,3,0)),VLOOKUP(G6,D!$G$4:$I$17,2,0)&gt;D!$H$12),"",LOOKUP(D!$H$12,D!$H$4:$H$17,D!$G$4:$G$17))</f>
        <v>August</v>
      </c>
      <c r="X14" s="258" t="str">
        <f>IF(OR(AND(VLOOKUP(K6,D!$G$4:$I$17,2,0)=D!$H$12,L6=VLOOKUP(K6,D!$G$4:$I$17,3,0)),VLOOKUP(K6,D!$G$4:$I$17,2,0)&gt;D!$H$12),"",LOOKUP(D!$H$12,D!$H$4:$H$17,D!$G$4:$G$17))</f>
        <v>August</v>
      </c>
      <c r="Y14" s="258" t="str">
        <f>IF(OR(AND(VLOOKUP(O6,D!$G$4:$I$17,2,0)=D!$H$12,P6=VLOOKUP(O6,D!$G$4:$I$17,3,0)),VLOOKUP(O6,D!$G$4:$I$17,2,0)&gt;D!$H$12),"",LOOKUP(D!$H$12,D!$H$4:$H$17,D!$G$4:$G$17))</f>
        <v>August</v>
      </c>
      <c r="Z14" s="258" t="str">
        <f>IF(OR(AND(VLOOKUP(S6,D!$G$4:$I$17,2,0)=D!$H$12,T6=VLOOKUP(S6,D!$G$4:$I$17,3,0)),VLOOKUP(S6,D!$G$4:$I$17,2,0)&gt;D!$H$12),"",LOOKUP(D!$H$12,D!$H$4:$H$17,D!$G$4:$G$17))</f>
        <v>August</v>
      </c>
      <c r="AN14" s="273"/>
      <c r="AO14" s="273"/>
      <c r="AP14" s="273"/>
      <c r="AR14" s="273"/>
      <c r="AS14" s="273"/>
      <c r="AT14" s="273"/>
      <c r="AV14" s="273"/>
      <c r="AW14" s="273"/>
      <c r="AX14" s="273"/>
      <c r="AZ14" s="273"/>
      <c r="BA14" s="273"/>
      <c r="BB14" s="273"/>
      <c r="BC14" s="266"/>
      <c r="BD14" s="266"/>
      <c r="BE14" s="266"/>
      <c r="BF14" s="266"/>
      <c r="BG14" s="266"/>
      <c r="BH14" s="266"/>
      <c r="BI14" s="266"/>
      <c r="BJ14" s="266"/>
      <c r="BK14" s="1">
        <f t="shared" si="2"/>
        <v>8</v>
      </c>
      <c r="BL14" s="1" t="s">
        <v>416</v>
      </c>
      <c r="BM14" s="1" t="s">
        <v>417</v>
      </c>
      <c r="BP14" s="1" t="str">
        <f>IF(DAY_SCH!A12="","",DAY_SCH!A12)</f>
        <v>TYPE A FANS All</v>
      </c>
    </row>
    <row r="15" spans="1:95" ht="28.5">
      <c r="A15" s="9"/>
      <c r="B15" s="260"/>
      <c r="C15" s="238" t="str">
        <f>IF(AND(C11="Other",OR(D15=" ",D15="")),"Select Type →",IF(AND(NOT(C11="Other"),AND(NOT(D15=" "),NOT(D15=""))),"Deselect Type→",VLOOKUP(C11,$BL$6:$BM$19,2,0)))</f>
        <v>Deselect Type→</v>
      </c>
      <c r="D15" s="275" t="s">
        <v>386</v>
      </c>
      <c r="E15" s="275"/>
      <c r="F15" s="267" t="s">
        <v>418</v>
      </c>
      <c r="G15" s="268" t="s">
        <v>390</v>
      </c>
      <c r="H15" s="268"/>
      <c r="I15" s="264"/>
      <c r="J15" s="267" t="str">
        <f t="shared" si="1"/>
        <v>SAT:</v>
      </c>
      <c r="K15" s="268"/>
      <c r="L15" s="268"/>
      <c r="M15" s="269"/>
      <c r="N15" s="267" t="s">
        <v>418</v>
      </c>
      <c r="O15" s="268"/>
      <c r="P15" s="268"/>
      <c r="Q15" s="269"/>
      <c r="R15" s="267" t="s">
        <v>419</v>
      </c>
      <c r="S15" s="270"/>
      <c r="T15" s="270"/>
      <c r="U15" s="243"/>
      <c r="W15" s="258" t="str">
        <f>IF(OR(AND(VLOOKUP(G6,D!$G$4:$I$17,2,0)=D!$H$13,H6=VLOOKUP(G6,D!$G$4:$I$17,3,0)),VLOOKUP(G6,D!$G$4:$I$17,2,0)&gt;D!$H$13),"",LOOKUP(D!$H$13,D!$H$4:$H$17,D!$G$4:$G$17))</f>
        <v>September</v>
      </c>
      <c r="X15" s="258" t="str">
        <f>IF(OR(AND(VLOOKUP(K6,D!$G$4:$I$17,2,0)=D!$H$13,L6=VLOOKUP(K6,D!$G$4:$I$17,3,0)),VLOOKUP(K6,D!$G$4:$I$17,2,0)&gt;D!$H$13),"",LOOKUP(D!$H$13,D!$H$4:$H$17,D!$G$4:$G$17))</f>
        <v>September</v>
      </c>
      <c r="Y15" s="258" t="str">
        <f>IF(OR(AND(VLOOKUP(O6,D!$G$4:$I$17,2,0)=D!$H$13,P6=VLOOKUP(O6,D!$G$4:$I$17,3,0)),VLOOKUP(O6,D!$G$4:$I$17,2,0)&gt;D!$H$13),"",LOOKUP(D!$H$13,D!$H$4:$H$17,D!$G$4:$G$17))</f>
        <v>September</v>
      </c>
      <c r="Z15" s="258" t="str">
        <f>IF(OR(AND(VLOOKUP(S6,D!$G$4:$I$17,2,0)=D!$H$13,T6=VLOOKUP(S6,D!$G$4:$I$17,3,0)),VLOOKUP(S6,D!$G$4:$I$17,2,0)&gt;D!$H$13),"",LOOKUP(D!$H$13,D!$H$4:$H$17,D!$G$4:$G$17))</f>
        <v>September</v>
      </c>
      <c r="AN15" s="273"/>
      <c r="AO15" s="273"/>
      <c r="AP15" s="273"/>
      <c r="AR15" s="273"/>
      <c r="AS15" s="273"/>
      <c r="AT15" s="273"/>
      <c r="AV15" s="273"/>
      <c r="AW15" s="273"/>
      <c r="AX15" s="273"/>
      <c r="AZ15" s="273"/>
      <c r="BA15" s="273"/>
      <c r="BB15" s="273"/>
      <c r="BC15" s="266"/>
      <c r="BD15" s="266"/>
      <c r="BE15" s="266"/>
      <c r="BF15" s="266"/>
      <c r="BG15" s="266"/>
      <c r="BH15" s="266"/>
      <c r="BI15" s="266"/>
      <c r="BJ15" s="266"/>
      <c r="BK15" s="1">
        <f t="shared" si="2"/>
        <v>9</v>
      </c>
      <c r="BL15" s="1" t="s">
        <v>420</v>
      </c>
      <c r="BM15" s="1" t="s">
        <v>393</v>
      </c>
      <c r="BP15" s="1" t="str">
        <f>IF(DAY_SCH!A13="","",DAY_SCH!A13)</f>
        <v>TYPE A CLNG NOT AVAIL</v>
      </c>
    </row>
    <row r="16" spans="1:95">
      <c r="A16" s="9"/>
      <c r="B16" s="260"/>
      <c r="C16" s="238"/>
      <c r="D16" s="275"/>
      <c r="E16" s="275"/>
      <c r="F16" s="267" t="s">
        <v>421</v>
      </c>
      <c r="G16" s="268" t="s">
        <v>390</v>
      </c>
      <c r="H16" s="268"/>
      <c r="I16" s="264"/>
      <c r="J16" s="267" t="str">
        <f t="shared" si="1"/>
        <v>HOL:</v>
      </c>
      <c r="K16" s="268"/>
      <c r="L16" s="268"/>
      <c r="M16" s="269"/>
      <c r="N16" s="267" t="s">
        <v>421</v>
      </c>
      <c r="O16" s="268"/>
      <c r="P16" s="268"/>
      <c r="Q16" s="269"/>
      <c r="R16" s="267" t="s">
        <v>391</v>
      </c>
      <c r="S16" s="270"/>
      <c r="T16" s="270"/>
      <c r="U16" s="243"/>
      <c r="W16" s="258" t="str">
        <f>IF(OR(AND(VLOOKUP(G6,D!$G$4:$I$17,2,0)=D!$H$14,H6=VLOOKUP(G6,D!$G$4:$I$17,3,0)),VLOOKUP(G6,D!$G$4:$I$17,2,0)&gt;D!$H$14),"",LOOKUP(D!$H$14,D!$H$4:$H$17,D!$G$4:$G$17))</f>
        <v>October</v>
      </c>
      <c r="X16" s="258" t="str">
        <f>IF(OR(AND(VLOOKUP(K6,D!$G$4:$I$17,2,0)=D!$H$14,L6=VLOOKUP(K6,D!$G$4:$I$17,3,0)),VLOOKUP(K6,D!$G$4:$I$17,2,0)&gt;D!$H$14),"",LOOKUP(D!$H$14,D!$H$4:$H$17,D!$G$4:$G$17))</f>
        <v>October</v>
      </c>
      <c r="Y16" s="258" t="str">
        <f>IF(OR(AND(VLOOKUP(O6,D!$G$4:$I$17,2,0)=D!$H$14,P6=VLOOKUP(O6,D!$G$4:$I$17,3,0)),VLOOKUP(O6,D!$G$4:$I$17,2,0)&gt;D!$H$14),"",LOOKUP(D!$H$14,D!$H$4:$H$17,D!$G$4:$G$17))</f>
        <v>October</v>
      </c>
      <c r="Z16" s="258" t="str">
        <f>IF(OR(AND(VLOOKUP(S6,D!$G$4:$I$17,2,0)=D!$H$14,T6=VLOOKUP(S6,D!$G$4:$I$17,3,0)),VLOOKUP(S6,D!$G$4:$I$17,2,0)&gt;D!$H$14),"",LOOKUP(D!$H$14,D!$H$4:$H$17,D!$G$4:$G$17))</f>
        <v>October</v>
      </c>
      <c r="AN16" s="273"/>
      <c r="AO16" s="273"/>
      <c r="AP16" s="273"/>
      <c r="AR16" s="273"/>
      <c r="AS16" s="273"/>
      <c r="AT16" s="273"/>
      <c r="AV16" s="273"/>
      <c r="AW16" s="273"/>
      <c r="AX16" s="273"/>
      <c r="AZ16" s="273"/>
      <c r="BA16" s="273"/>
      <c r="BB16" s="273"/>
      <c r="BK16" s="1">
        <f t="shared" si="2"/>
        <v>10</v>
      </c>
      <c r="BL16" s="1" t="s">
        <v>422</v>
      </c>
      <c r="BM16" s="1" t="s">
        <v>393</v>
      </c>
      <c r="BP16" s="1" t="str">
        <f>IF(DAY_SCH!A14="","",DAY_SCH!A14)</f>
        <v>TYPE A CLNG AVAIL</v>
      </c>
      <c r="BY16" s="1" t="s">
        <v>423</v>
      </c>
    </row>
    <row r="17" spans="1:77">
      <c r="A17" s="9"/>
      <c r="B17" s="260"/>
      <c r="C17" s="261"/>
      <c r="D17" s="261"/>
      <c r="E17" s="261"/>
      <c r="F17" s="267" t="s">
        <v>424</v>
      </c>
      <c r="G17" s="268" t="s">
        <v>425</v>
      </c>
      <c r="H17" s="268"/>
      <c r="I17" s="264"/>
      <c r="J17" s="267" t="str">
        <f t="shared" si="1"/>
        <v>HDD:</v>
      </c>
      <c r="K17" s="268"/>
      <c r="L17" s="268"/>
      <c r="M17" s="269"/>
      <c r="N17" s="267" t="s">
        <v>424</v>
      </c>
      <c r="O17" s="268"/>
      <c r="P17" s="268"/>
      <c r="Q17" s="269"/>
      <c r="R17" s="267" t="s">
        <v>426</v>
      </c>
      <c r="S17" s="270"/>
      <c r="T17" s="270"/>
      <c r="U17" s="243"/>
      <c r="W17" s="258" t="str">
        <f>IF(OR(AND(VLOOKUP(G6,D!$G$4:$I$17,2,0)=D!$H$15,H6=VLOOKUP(G6,D!$G$4:$I$17,3,0)),VLOOKUP(G6,D!$G$4:$I$17,2,0)&gt;D!$H$15),"",LOOKUP(D!$H$15,D!$H$4:$H$17,D!$G$4:$G$17))</f>
        <v>November</v>
      </c>
      <c r="X17" s="258" t="str">
        <f>IF(OR(AND(VLOOKUP(K6,D!$G$4:$I$17,2,0)=D!$H$15,L6=VLOOKUP(K6,D!$G$4:$I$17,3,0)),VLOOKUP(K6,D!$G$4:$I$17,2,0)&gt;D!$H$15),"",LOOKUP(D!$H$15,D!$H$4:$H$17,D!$G$4:$G$17))</f>
        <v>November</v>
      </c>
      <c r="Y17" s="258" t="str">
        <f>IF(OR(AND(VLOOKUP(O6,D!$G$4:$I$17,2,0)=D!$H$15,P6=VLOOKUP(O6,D!$G$4:$I$17,3,0)),VLOOKUP(O6,D!$G$4:$I$17,2,0)&gt;D!$H$15),"",LOOKUP(D!$H$15,D!$H$4:$H$17,D!$G$4:$G$17))</f>
        <v>November</v>
      </c>
      <c r="Z17" s="258" t="str">
        <f>IF(OR(AND(VLOOKUP(S6,D!$G$4:$I$17,2,0)=D!$H$15,T6=VLOOKUP(S6,D!$G$4:$I$17,3,0)),VLOOKUP(S6,D!$G$4:$I$17,2,0)&gt;D!$H$15),"",LOOKUP(D!$H$15,D!$H$4:$H$17,D!$G$4:$G$17))</f>
        <v>November</v>
      </c>
      <c r="BK17" s="1">
        <f t="shared" si="2"/>
        <v>11</v>
      </c>
      <c r="BL17" s="1" t="s">
        <v>427</v>
      </c>
      <c r="BM17" s="1" t="s">
        <v>393</v>
      </c>
      <c r="BP17" s="1" t="str">
        <f>IF(DAY_SCH!A15="","",DAY_SCH!A15)</f>
        <v>HTNG NOT AVAILABLE</v>
      </c>
      <c r="BY17" s="1" t="s">
        <v>428</v>
      </c>
    </row>
    <row r="18" spans="1:77">
      <c r="A18" s="9"/>
      <c r="B18" s="260"/>
      <c r="C18" s="261"/>
      <c r="D18" s="261"/>
      <c r="E18" s="261"/>
      <c r="F18" s="267" t="s">
        <v>429</v>
      </c>
      <c r="G18" s="268" t="s">
        <v>430</v>
      </c>
      <c r="H18" s="268"/>
      <c r="I18" s="269"/>
      <c r="J18" s="267" t="str">
        <f t="shared" si="1"/>
        <v>CDD:</v>
      </c>
      <c r="K18" s="268"/>
      <c r="L18" s="268"/>
      <c r="M18" s="269"/>
      <c r="N18" s="267" t="s">
        <v>429</v>
      </c>
      <c r="O18" s="268"/>
      <c r="P18" s="268"/>
      <c r="Q18" s="269"/>
      <c r="R18" s="267" t="s">
        <v>431</v>
      </c>
      <c r="S18" s="270"/>
      <c r="T18" s="270"/>
      <c r="U18" s="243"/>
      <c r="W18" s="258" t="str">
        <f>IF(OR(AND(VLOOKUP(G6,D!$G$4:$I$17,2,0)=D!$H$16,H6=VLOOKUP(G6,D!$G$4:$I$17,3,0)),VLOOKUP(G6,D!$G$4:$I$17,2,0)&gt;D!$H$16),"",LOOKUP(D!$H$16,D!$H$4:$H$17,D!$G$4:$G$17))</f>
        <v>December</v>
      </c>
      <c r="X18" s="258" t="str">
        <f>IF(OR(AND(VLOOKUP(K6,D!$G$4:$I$17,2,0)=D!$H$16,L6=VLOOKUP(K6,D!$G$4:$I$17,3,0)),VLOOKUP(K6,D!$G$4:$I$17,2,0)&gt;D!$H$16),"",LOOKUP(D!$H$16,D!$H$4:$H$17,D!$G$4:$G$17))</f>
        <v>December</v>
      </c>
      <c r="Y18" s="258" t="str">
        <f>IF(OR(AND(VLOOKUP(O6,D!$G$4:$I$17,2,0)=D!$H$16,P6=VLOOKUP(O6,D!$G$4:$I$17,3,0)),VLOOKUP(O6,D!$G$4:$I$17,2,0)&gt;D!$H$16),"",LOOKUP(D!$H$16,D!$H$4:$H$17,D!$G$4:$G$17))</f>
        <v>December</v>
      </c>
      <c r="Z18" s="258" t="str">
        <f>IF(OR(AND(VLOOKUP(S6,D!$G$4:$I$17,2,0)=D!$H$16,T6=VLOOKUP(S6,D!$G$4:$I$17,3,0)),VLOOKUP(S6,D!$G$4:$I$17,2,0)&gt;D!$H$16),"",LOOKUP(D!$H$16,D!$H$4:$H$17,D!$G$4:$G$17))</f>
        <v>December</v>
      </c>
      <c r="BK18" s="1">
        <f t="shared" si="2"/>
        <v>12</v>
      </c>
      <c r="BL18" s="1" t="s">
        <v>401</v>
      </c>
      <c r="BM18" s="1" t="s">
        <v>388</v>
      </c>
      <c r="BP18" s="1" t="str">
        <f>IF(DAY_SCH!A16="","",DAY_SCH!A16)</f>
        <v>HTNG AVAIL SHOULDER SEASON</v>
      </c>
      <c r="BY18" s="1" t="s">
        <v>432</v>
      </c>
    </row>
    <row r="19" spans="1:77">
      <c r="A19" s="9"/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43"/>
      <c r="BK19" s="1">
        <f t="shared" si="2"/>
        <v>13</v>
      </c>
      <c r="BM19" s="1" t="str">
        <f t="shared" ref="BM19:BM37" si="3">" "</f>
        <v xml:space="preserve"> </v>
      </c>
      <c r="BP19" s="1" t="str">
        <f>IF(DAY_SCH!A17="","",DAY_SCH!A17)</f>
        <v>HTNG AVAILABLE</v>
      </c>
    </row>
    <row r="20" spans="1:77">
      <c r="A20" s="9">
        <f>IF(C6="",A6+1,IF(OR(AND(G7="December",H7=31),AND(K7="December",L7=31),AND(O7="December",P7=31),AND(S7="December",T7=31)),A6+1,A6))</f>
        <v>2</v>
      </c>
      <c r="B20" s="277" t="s">
        <v>376</v>
      </c>
      <c r="C20" s="76"/>
      <c r="D20" s="76"/>
      <c r="E20" s="76"/>
      <c r="F20" s="249" t="s">
        <v>378</v>
      </c>
      <c r="G20" s="250" t="str">
        <f>IF(A6=A20,IF(VLOOKUP(S7,D!$G$5:$I$16,3,0)=T7,LOOKUP(VLOOKUP(S7,D!$G$4:$H$16,2,0)+1,D!$H$4:$H$16,D!$G$4:$G$16),S7),"January")</f>
        <v>January</v>
      </c>
      <c r="H20" s="251">
        <f>IF(A20=A6,IF(G20=" "," ",IF(G20=S7,T7+1,1)),1)</f>
        <v>1</v>
      </c>
      <c r="I20" s="251"/>
      <c r="J20" s="249" t="s">
        <v>378</v>
      </c>
      <c r="K20" s="252" t="str">
        <f>IF(AND(G21="December",H21=31)," ",IF(VLOOKUP(G21,D!$G$5:$I$16,3,0)=H21,LOOKUP(VLOOKUP(G21,D!$G$4:$H$16,2,0)+1,D!$H$4:$H$16,D!$G$4:$G$16),G21))</f>
        <v xml:space="preserve"> </v>
      </c>
      <c r="L20" s="251" t="str">
        <f>IF(K20=" "," ",IF(K20=G21,H21+1,1))</f>
        <v xml:space="preserve"> </v>
      </c>
      <c r="M20" s="251"/>
      <c r="N20" s="249" t="s">
        <v>378</v>
      </c>
      <c r="O20" s="250" t="e">
        <f>IF(OR(K21=" ",AND(K21="December",L21=31))," ",IF(VLOOKUP(K21,D!$G$5:$I$16,3,0)=L21,LOOKUP(VLOOKUP(K21,D!$G$4:$H$16,2,0)+1,D!$H$4:$H$16,D!$G$4:$G$16),K21))</f>
        <v>#N/A</v>
      </c>
      <c r="P20" s="251" t="e">
        <f>IF(O20=" "," ",IF(O20=K21,L21+1,1))</f>
        <v>#N/A</v>
      </c>
      <c r="Q20" s="251"/>
      <c r="R20" s="249" t="s">
        <v>378</v>
      </c>
      <c r="S20" s="250" t="e">
        <f>IF(OR(O21=" ",AND(O21="December",P21=31))," ",IF(VLOOKUP(O21,D!$G$5:$I$16,3,0)=P21,LOOKUP(VLOOKUP(O21,D!$G$4:$H$16,2,0)+1,D!$H$4:$H$16,D!$G$4:$G$16),O21))</f>
        <v>#N/A</v>
      </c>
      <c r="T20" s="251" t="e">
        <f>IF(S20=" "," ",IF(S20=O21,P21+1,1))</f>
        <v>#N/A</v>
      </c>
      <c r="U20" s="243"/>
      <c r="W20" s="1" t="str">
        <f>" "</f>
        <v xml:space="preserve"> </v>
      </c>
      <c r="X20" s="1" t="str">
        <f>" "</f>
        <v xml:space="preserve"> </v>
      </c>
      <c r="Y20" s="1" t="str">
        <f>" "</f>
        <v xml:space="preserve"> </v>
      </c>
      <c r="Z20" s="1" t="str">
        <f>" "</f>
        <v xml:space="preserve"> </v>
      </c>
      <c r="BK20" s="1">
        <f t="shared" si="2"/>
        <v>14</v>
      </c>
      <c r="BM20" s="1" t="str">
        <f t="shared" si="3"/>
        <v xml:space="preserve"> </v>
      </c>
      <c r="BP20" s="1" t="str">
        <f>IF(DAY_SCH!A18="","",DAY_SCH!A18)</f>
        <v>TYPE A CLNG TSTAT</v>
      </c>
    </row>
    <row r="21" spans="1:77" ht="28.5">
      <c r="A21" s="9"/>
      <c r="B21" s="278"/>
      <c r="C21" s="76"/>
      <c r="D21" s="76"/>
      <c r="E21" s="76"/>
      <c r="F21" s="255" t="s">
        <v>380</v>
      </c>
      <c r="G21" s="256" t="s">
        <v>384</v>
      </c>
      <c r="H21" s="257">
        <v>31</v>
      </c>
      <c r="I21" s="257"/>
      <c r="J21" s="255" t="s">
        <v>380</v>
      </c>
      <c r="K21" s="256" t="s">
        <v>93</v>
      </c>
      <c r="L21" s="257" t="s">
        <v>93</v>
      </c>
      <c r="M21" s="257"/>
      <c r="N21" s="255" t="s">
        <v>380</v>
      </c>
      <c r="O21" s="256" t="s">
        <v>93</v>
      </c>
      <c r="P21" s="257"/>
      <c r="Q21" s="257"/>
      <c r="R21" s="255" t="s">
        <v>380</v>
      </c>
      <c r="S21" s="256" t="s">
        <v>93</v>
      </c>
      <c r="T21" s="257"/>
      <c r="U21" s="243"/>
      <c r="W21" s="258" t="str">
        <f>IF(OR(AND(VLOOKUP(G20,D!$G$4:$I$17,2,0)=D!$H$5,H20=VLOOKUP(G20,D!$G$4:$I$17,3,0)),VLOOKUP(G20,D!$G$4:$I$17,2,0)&gt;D!$H$5),"",LOOKUP(D!$H$5,D!$H$4:$H$17,D!$G$4:$G$17))</f>
        <v>January</v>
      </c>
      <c r="X21" s="258" t="str">
        <f>IF(OR(AND(VLOOKUP(K20,D!$G$4:$I$17,2,0)=D!$H$5,L20=VLOOKUP(K20,D!$G$4:$I$17,3,0)),VLOOKUP(K20,D!$G$4:$I$17,2,0)&gt;D!$H$5),"",LOOKUP(D!$H$5,D!$H$4:$H$17,D!$G$4:$G$17))</f>
        <v>January</v>
      </c>
      <c r="Y21" s="258" t="e">
        <f>IF(OR(AND(VLOOKUP(O20,D!$G$4:$I$17,2,0)=D!$H$5,P20=VLOOKUP(O20,D!$G$4:$I$17,3,0)),VLOOKUP(O20,D!$G$4:$I$17,2,0)&gt;D!$H$5),"",LOOKUP(D!$H$5,D!$H$4:$H$17,D!$G$4:$G$17))</f>
        <v>#N/A</v>
      </c>
      <c r="Z21" s="258" t="e">
        <f>IF(OR(AND(VLOOKUP(S20,D!$G$4:$I$17,2,0)=D!$H$5,T20=VLOOKUP(S20,D!$G$4:$I$17,3,0)),VLOOKUP(S20,D!$G$4:$I$17,2,0)&gt;D!$H$5),"",LOOKUP(D!$H$5,D!$H$4:$H$17,D!$G$4:$G$17))</f>
        <v>#N/A</v>
      </c>
      <c r="AA21" s="1" t="str">
        <f>" "</f>
        <v xml:space="preserve"> </v>
      </c>
      <c r="AB21" s="253">
        <f>IF(AND(NOT($G20=$G21),BM$3&lt;=VLOOKUP($G21,D!$G$5:$I$16,3,0)),BM$3,IF(AND($G20=$G21,$H20&lt;VLOOKUP($G21,D!$G$5:$I$16,3,0)),$H20+1,""))</f>
        <v>1</v>
      </c>
      <c r="AC21" s="253">
        <f>IF(AND(NOT($G20=$G21),BN$3&lt;=VLOOKUP($G21,D!$G$5:$I$16,3,0)),BN$3,IF(AND($G20=$G21,AB21&lt;VLOOKUP($G21,D!$G$5:$I$16,3,0),$H20&lt;AB21),AB21+1,""))</f>
        <v>2</v>
      </c>
      <c r="AD21" s="253">
        <f>IF(AND(NOT($G20=$G21),BO$3&lt;=VLOOKUP($G21,D!$G$5:$I$16,3,0)),BO$3,IF(AND($G20=$G21,AC21&lt;VLOOKUP($G21,D!$G$5:$I$16,3,0),$H20&lt;AC21),AC21+1,""))</f>
        <v>3</v>
      </c>
      <c r="AE21" s="253">
        <f>IF(AND(NOT($G20=$G21),BP$3&lt;=VLOOKUP($G21,D!$G$5:$I$16,3,0)),BP$3,IF(AND($G20=$G21,AD21&lt;VLOOKUP($G21,D!$G$5:$I$16,3,0),$H20&lt;AD21),AD21+1,""))</f>
        <v>4</v>
      </c>
      <c r="AF21" s="253">
        <f>IF(AND(NOT($G20=$G21),BQ$3&lt;=VLOOKUP($G21,D!$G$5:$I$16,3,0)),BQ$3,IF(AND($G20=$G21,AE21&lt;VLOOKUP($G21,D!$G$5:$I$16,3,0),$H20&lt;AE21),AE21+1,""))</f>
        <v>5</v>
      </c>
      <c r="AG21" s="253">
        <f>IF(AND(NOT($G20=$G21),BR$3&lt;=VLOOKUP($G21,D!$G$5:$I$16,3,0)),BR$3,IF(AND($G20=$G21,AF21&lt;VLOOKUP($G21,D!$G$5:$I$16,3,0),$H20&lt;AF21),AF21+1,""))</f>
        <v>6</v>
      </c>
      <c r="AH21" s="253">
        <f>IF(AND(NOT($G20=$G21),BS$3&lt;=VLOOKUP($G21,D!$G$5:$I$16,3,0)),BS$3,IF(AND($G20=$G21,AG21&lt;VLOOKUP($G21,D!$G$5:$I$16,3,0),$H20&lt;AG21),AG21+1,""))</f>
        <v>7</v>
      </c>
      <c r="AI21" s="253">
        <f>IF(AND(NOT($G20=$G21),BT$3&lt;=VLOOKUP($G21,D!$G$5:$I$16,3,0)),BT$3,IF(AND($G20=$G21,AH21&lt;VLOOKUP($G21,D!$G$5:$I$16,3,0),$H20&lt;AH21),AH21+1,""))</f>
        <v>8</v>
      </c>
      <c r="AJ21" s="253">
        <f>IF(AND(NOT($G20=$G21),BU$3&lt;=VLOOKUP($G21,D!$G$5:$I$16,3,0)),BU$3,IF(AND($G20=$G21,AI21&lt;VLOOKUP($G21,D!$G$5:$I$16,3,0),$H20&lt;AI21),AI21+1,""))</f>
        <v>9</v>
      </c>
      <c r="AK21" s="253">
        <f>IF(AND(NOT($G20=$G21),BV$3&lt;=VLOOKUP($G21,D!$G$5:$I$16,3,0)),BV$3,IF(AND($G20=$G21,AJ21&lt;VLOOKUP($G21,D!$G$5:$I$16,3,0),$H20&lt;AJ21),AJ21+1,""))</f>
        <v>10</v>
      </c>
      <c r="AL21" s="253">
        <f>IF(AND(NOT($G20=$G21),BW$3&lt;=VLOOKUP($G21,D!$G$5:$I$16,3,0)),BW$3,IF(AND($G20=$G21,AK21&lt;VLOOKUP($G21,D!$G$5:$I$16,3,0),$H20&lt;AK21),AK21+1,""))</f>
        <v>11</v>
      </c>
      <c r="AM21" s="253">
        <f>IF(AND(NOT($G20=$G21),BX$3&lt;=VLOOKUP($G21,D!$G$5:$I$16,3,0)),BX$3,IF(AND($G20=$G21,AL21&lt;VLOOKUP($G21,D!$G$5:$I$16,3,0),$H20&lt;AL21),AL21+1,""))</f>
        <v>12</v>
      </c>
      <c r="AN21" s="253">
        <f>IF(AND(NOT($G20=$G21),BY$3&lt;=VLOOKUP($G21,D!$G$5:$I$16,3,0)),BY$3,IF(AND($G20=$G21,AM21&lt;VLOOKUP($G21,D!$G$5:$I$16,3,0),$H20&lt;AM21),AM21+1,""))</f>
        <v>13</v>
      </c>
      <c r="AO21" s="253">
        <f>IF(AND(NOT($G20=$G21),BZ$3&lt;=VLOOKUP($G21,D!$G$5:$I$16,3,0)),BZ$3,IF(AND($G20=$G21,AN21&lt;VLOOKUP($G21,D!$G$5:$I$16,3,0),$H20&lt;AN21),AN21+1,""))</f>
        <v>14</v>
      </c>
      <c r="AP21" s="253">
        <f>IF(AND(NOT($G20=$G21),CA$3&lt;=VLOOKUP($G21,D!$G$5:$I$16,3,0)),CA$3,IF(AND($G20=$G21,AO21&lt;VLOOKUP($G21,D!$G$5:$I$16,3,0),$H20&lt;AO21),AO21+1,""))</f>
        <v>15</v>
      </c>
      <c r="AQ21" s="253">
        <f>IF(AND(NOT($G20=$G21),CB$3&lt;=VLOOKUP($G21,D!$G$5:$I$16,3,0)),CB$3,IF(AND($G20=$G21,AP21&lt;VLOOKUP($G21,D!$G$5:$I$16,3,0),$H20&lt;AP21),AP21+1,""))</f>
        <v>16</v>
      </c>
      <c r="AR21" s="253">
        <f>IF(AND(NOT($G20=$G21),CC$3&lt;=VLOOKUP($G21,D!$G$5:$I$16,3,0)),CC$3,IF(AND($G20=$G21,AQ21&lt;VLOOKUP($G21,D!$G$5:$I$16,3,0),$H20&lt;AQ21),AQ21+1,""))</f>
        <v>17</v>
      </c>
      <c r="AS21" s="253">
        <f>IF(AND(NOT($G20=$G21),CD$3&lt;=VLOOKUP($G21,D!$G$5:$I$16,3,0)),CD$3,IF(AND($G20=$G21,AR21&lt;VLOOKUP($G21,D!$G$5:$I$16,3,0),$H20&lt;AR21),AR21+1,""))</f>
        <v>18</v>
      </c>
      <c r="AT21" s="253">
        <f>IF(AND(NOT($G20=$G21),CE$3&lt;=VLOOKUP($G21,D!$G$5:$I$16,3,0)),CE$3,IF(AND($G20=$G21,AS21&lt;VLOOKUP($G21,D!$G$5:$I$16,3,0),$H20&lt;AS21),AS21+1,""))</f>
        <v>19</v>
      </c>
      <c r="AU21" s="253">
        <f>IF(AND(NOT($G20=$G21),CF$3&lt;=VLOOKUP($G21,D!$G$5:$I$16,3,0)),CF$3,IF(AND($G20=$G21,AT21&lt;VLOOKUP($G21,D!$G$5:$I$16,3,0),$H20&lt;AT21),AT21+1,""))</f>
        <v>20</v>
      </c>
      <c r="AV21" s="253">
        <f>IF(AND(NOT($G20=$G21),CG$3&lt;=VLOOKUP($G21,D!$G$5:$I$16,3,0)),CG$3,IF(AND($G20=$G21,AU21&lt;VLOOKUP($G21,D!$G$5:$I$16,3,0),$H20&lt;AU21),AU21+1,""))</f>
        <v>21</v>
      </c>
      <c r="AW21" s="253">
        <f>IF(AND(NOT($G20=$G21),CH$3&lt;=VLOOKUP($G21,D!$G$5:$I$16,3,0)),CH$3,IF(AND($G20=$G21,AV21&lt;VLOOKUP($G21,D!$G$5:$I$16,3,0),$H20&lt;AV21),AV21+1,""))</f>
        <v>22</v>
      </c>
      <c r="AX21" s="253">
        <f>IF(AND(NOT($G20=$G21),CI$3&lt;=VLOOKUP($G21,D!$G$5:$I$16,3,0)),CI$3,IF(AND($G20=$G21,AW21&lt;VLOOKUP($G21,D!$G$5:$I$16,3,0),$H20&lt;AW21),AW21+1,""))</f>
        <v>23</v>
      </c>
      <c r="AY21" s="253">
        <f>IF(AND(NOT($G20=$G21),CJ$3&lt;=VLOOKUP($G21,D!$G$5:$I$16,3,0)),CJ$3,IF(AND($G20=$G21,AX21&lt;VLOOKUP($G21,D!$G$5:$I$16,3,0),$H20&lt;AX21),AX21+1,""))</f>
        <v>24</v>
      </c>
      <c r="AZ21" s="253">
        <f>IF(AND(NOT($G20=$G21),CK$3&lt;=VLOOKUP($G21,D!$G$5:$I$16,3,0)),CK$3,IF(AND($G20=$G21,AY21&lt;VLOOKUP($G21,D!$G$5:$I$16,3,0),$H20&lt;AY21),AY21+1,""))</f>
        <v>25</v>
      </c>
      <c r="BA21" s="253">
        <f>IF(AND(NOT($G20=$G21),CL$3&lt;=VLOOKUP($G21,D!$G$5:$I$16,3,0)),CL$3,IF(AND($G20=$G21,AZ21&lt;VLOOKUP($G21,D!$G$5:$I$16,3,0),$H20&lt;AZ21),AZ21+1,""))</f>
        <v>26</v>
      </c>
      <c r="BB21" s="253">
        <f>IF(AND(NOT($G20=$G21),CM$3&lt;=VLOOKUP($G21,D!$G$5:$I$16,3,0)),CM$3,IF(AND($G20=$G21,BA21&lt;VLOOKUP($G21,D!$G$5:$I$16,3,0),$H20&lt;BA21),BA21+1,""))</f>
        <v>27</v>
      </c>
      <c r="BC21" s="253">
        <f>IF(AND(NOT($G20=$G21),CN$3&lt;=VLOOKUP($G21,D!$G$5:$I$16,3,0)),CN$3,IF(AND($G20=$G21,BB21&lt;VLOOKUP($G21,D!$G$5:$I$16,3,0),$H20&lt;BB21),BB21+1,""))</f>
        <v>28</v>
      </c>
      <c r="BD21" s="253">
        <f>IF(AND(NOT($G20=$G21),CO$3&lt;=VLOOKUP($G21,D!$G$5:$I$16,3,0)),CO$3,IF(AND($G20=$G21,BC21&lt;VLOOKUP($G21,D!$G$5:$I$16,3,0),$H20&lt;BC21),BC21+1,""))</f>
        <v>29</v>
      </c>
      <c r="BE21" s="253">
        <f>IF(AND(NOT($G20=$G21),CP$3&lt;=VLOOKUP($G21,D!$G$5:$I$16,3,0)),CP$3,IF(AND($G20=$G21,BD21&lt;VLOOKUP($G21,D!$G$5:$I$16,3,0),$H20&lt;BD21),BD21+1,""))</f>
        <v>30</v>
      </c>
      <c r="BF21" s="253">
        <f>IF(AND(NOT($G20=$G21),CQ$3&lt;=VLOOKUP($G21,D!$G$5:$I$16,3,0)),CQ$3,IF(AND($G20=$G21,BE21&lt;VLOOKUP($G21,D!$G$5:$I$16,3,0),$H20&lt;BE21),BE21+1,""))</f>
        <v>31</v>
      </c>
      <c r="BK21" s="1">
        <f t="shared" si="2"/>
        <v>15</v>
      </c>
      <c r="BM21" s="1" t="str">
        <f t="shared" si="3"/>
        <v xml:space="preserve"> </v>
      </c>
      <c r="BP21" s="1" t="str">
        <f>IF(DAY_SCH!A19="","",DAY_SCH!A19)</f>
        <v>TYPE A HTNG TSTAT</v>
      </c>
    </row>
    <row r="22" spans="1:77">
      <c r="A22" s="9"/>
      <c r="B22" s="260"/>
      <c r="C22" s="261" t="str">
        <f>IF(ISNA(VLOOKUP(C20,$BP$6:$BP$206,1,0)),"",IF(VLOOKUP(C20,$BP$6:$BP$206,1,0)="","","Schedules and Day Schedules can't have same name!"))</f>
        <v/>
      </c>
      <c r="D22" s="261"/>
      <c r="E22" s="261"/>
      <c r="F22" s="262"/>
      <c r="G22" s="263" t="str">
        <f>IF(OR(H21&gt;VLOOKUP(G21,D!$G$4:$I$16,3,0),AND(G21=G20,H21&lt;=H20),VLOOKUP(G21,D!$G$4:$H$16,2,0)&lt;VLOOKUP(G20,D!$G$4:$H$16,2,0)),"Must correct date!","")</f>
        <v/>
      </c>
      <c r="H22" s="263"/>
      <c r="I22" s="264"/>
      <c r="J22" s="262"/>
      <c r="K22" s="263" t="e">
        <f>IF(AND(K21=" ",K20=" "),"",IF(OR(L21&gt;VLOOKUP(K21,D!$G$4:$I$16,3,0),AND(K21=K20,L21&lt;=L20),VLOOKUP(K21,D!$G$4:$H$16,2,0)&lt;VLOOKUP(K20,D!$G$4:$H$16,2,0)),"Must correct date!",""))</f>
        <v>#N/A</v>
      </c>
      <c r="L22" s="263"/>
      <c r="M22" s="264"/>
      <c r="N22" s="262"/>
      <c r="O22" s="263" t="e">
        <f>IF(AND(O21=" ",O20=" "),"",IF(OR(P21&gt;VLOOKUP(O21,D!$G$4:$I$16,3,0),AND(O21=O20,P21&lt;=P20),VLOOKUP(O21,D!$G$4:$H$16,2,0)&lt;VLOOKUP(O20,D!$G$4:$H$16,2,0)),"Must correct date!",""))</f>
        <v>#N/A</v>
      </c>
      <c r="P22" s="263"/>
      <c r="Q22" s="264"/>
      <c r="R22" s="262"/>
      <c r="S22" s="265" t="e">
        <f>IF(AND(S21=" ",S20=" "),"",IF(OR(T21&gt;VLOOKUP(S21,D!$G$4:$I$16,3,0),AND(S21=S20,T21&lt;=T20),VLOOKUP(S21,D!$G$4:$H$16,2,0)&lt;VLOOKUP(S20,D!$G$4:$H$16,2,0)),"Must correct date!",""))</f>
        <v>#N/A</v>
      </c>
      <c r="T22" s="265"/>
      <c r="U22" s="243"/>
      <c r="W22" s="258" t="str">
        <f>IF(OR(AND(VLOOKUP(G20,D!$G$4:$I$17,2,0)=D!$H$6,H20=VLOOKUP(G20,D!$G$4:$I$17,3,0)),VLOOKUP(G20,D!$G$4:$I$17,2,0)&gt;D!$H$6),"",LOOKUP(D!$H$6,D!$H$4:$H$17,D!$G$4:$G$17))</f>
        <v>February</v>
      </c>
      <c r="X22" s="258" t="str">
        <f>IF(OR(AND(VLOOKUP(K20,D!$G$4:$I$17,2,0)=D!$H$6,L20=VLOOKUP(K20,D!$G$4:$I$17,3,0)),VLOOKUP(K20,D!$G$4:$I$17,2,0)&gt;D!$H$6),"",LOOKUP(D!$H$6,D!$H$4:$H$17,D!$G$4:$G$17))</f>
        <v>February</v>
      </c>
      <c r="Y22" s="258" t="e">
        <f>IF(OR(AND(VLOOKUP(O20,D!$G$4:$I$17,2,0)=D!$H$6,P20=VLOOKUP(O20,D!$G$4:$I$17,3,0)),VLOOKUP(O20,D!$G$4:$I$17,2,0)&gt;D!$H$6),"",LOOKUP(D!$H$6,D!$H$4:$H$17,D!$G$4:$G$17))</f>
        <v>#N/A</v>
      </c>
      <c r="Z22" s="258" t="e">
        <f>IF(OR(AND(VLOOKUP(S20,D!$G$4:$I$17,2,0)=D!$H$6,T20=VLOOKUP(S20,D!$G$4:$I$17,3,0)),VLOOKUP(S20,D!$G$4:$I$17,2,0)&gt;D!$H$6),"",LOOKUP(D!$H$6,D!$H$4:$H$17,D!$G$4:$G$17))</f>
        <v>#N/A</v>
      </c>
      <c r="AA22" s="1" t="str">
        <f>" "</f>
        <v xml:space="preserve"> </v>
      </c>
      <c r="AB22" s="253" t="e">
        <f>IF(AND(NOT($K20=$K21),BM$3&lt;=VLOOKUP($K21,D!$G$5:$I$16,3,0)),BM$3,IF(AND($K20=$K21,$L20&lt;VLOOKUP($K21,D!$G$5:$I$16,3,0)),$L20+1,""))</f>
        <v>#N/A</v>
      </c>
      <c r="AC22" s="253" t="e">
        <f>IF(AND(NOT($K20=$K21),BN$3&lt;=VLOOKUP($K21,D!$G$5:$I$16,3,0)),BN$3,IF(AND($K20=$K21,AB22&lt;VLOOKUP($K21,D!$G$5:$I$16,3,0),$L20&lt;AB22),AB22+1,""))</f>
        <v>#N/A</v>
      </c>
      <c r="AD22" s="253" t="e">
        <f>IF(AND(NOT($K20=$K21),BO$3&lt;=VLOOKUP($K21,D!$G$5:$I$16,3,0)),BO$3,IF(AND($K20=$K21,AC22&lt;VLOOKUP($K21,D!$G$5:$I$16,3,0),$L20&lt;AC22),AC22+1,""))</f>
        <v>#N/A</v>
      </c>
      <c r="AE22" s="253" t="e">
        <f>IF(AND(NOT($K20=$K21),BP$3&lt;=VLOOKUP($K21,D!$G$5:$I$16,3,0)),BP$3,IF(AND($K20=$K21,AD22&lt;VLOOKUP($K21,D!$G$5:$I$16,3,0),$L20&lt;AD22),AD22+1,""))</f>
        <v>#N/A</v>
      </c>
      <c r="AF22" s="253" t="e">
        <f>IF(AND(NOT($K20=$K21),BQ$3&lt;=VLOOKUP($K21,D!$G$5:$I$16,3,0)),BQ$3,IF(AND($K20=$K21,AE22&lt;VLOOKUP($K21,D!$G$5:$I$16,3,0),$L20&lt;AE22),AE22+1,""))</f>
        <v>#N/A</v>
      </c>
      <c r="AG22" s="253" t="e">
        <f>IF(AND(NOT($K20=$K21),BR$3&lt;=VLOOKUP($K21,D!$G$5:$I$16,3,0)),BR$3,IF(AND($K20=$K21,AF22&lt;VLOOKUP($K21,D!$G$5:$I$16,3,0),$L20&lt;AF22),AF22+1,""))</f>
        <v>#N/A</v>
      </c>
      <c r="AH22" s="253" t="e">
        <f>IF(AND(NOT($K20=$K21),BS$3&lt;=VLOOKUP($K21,D!$G$5:$I$16,3,0)),BS$3,IF(AND($K20=$K21,AG22&lt;VLOOKUP($K21,D!$G$5:$I$16,3,0),$L20&lt;AG22),AG22+1,""))</f>
        <v>#N/A</v>
      </c>
      <c r="AI22" s="253" t="e">
        <f>IF(AND(NOT($K20=$K21),BT$3&lt;=VLOOKUP($K21,D!$G$5:$I$16,3,0)),BT$3,IF(AND($K20=$K21,AH22&lt;VLOOKUP($K21,D!$G$5:$I$16,3,0),$L20&lt;AH22),AH22+1,""))</f>
        <v>#N/A</v>
      </c>
      <c r="AJ22" s="253" t="e">
        <f>IF(AND(NOT($K20=$K21),BU$3&lt;=VLOOKUP($K21,D!$G$5:$I$16,3,0)),BU$3,IF(AND($K20=$K21,AI22&lt;VLOOKUP($K21,D!$G$5:$I$16,3,0),$L20&lt;AI22),AI22+1,""))</f>
        <v>#N/A</v>
      </c>
      <c r="AK22" s="253" t="e">
        <f>IF(AND(NOT($K20=$K21),BV$3&lt;=VLOOKUP($K21,D!$G$5:$I$16,3,0)),BV$3,IF(AND($K20=$K21,AJ22&lt;VLOOKUP($K21,D!$G$5:$I$16,3,0),$L20&lt;AJ22),AJ22+1,""))</f>
        <v>#N/A</v>
      </c>
      <c r="AL22" s="253" t="e">
        <f>IF(AND(NOT($K20=$K21),BW$3&lt;=VLOOKUP($K21,D!$G$5:$I$16,3,0)),BW$3,IF(AND($K20=$K21,AK22&lt;VLOOKUP($K21,D!$G$5:$I$16,3,0),$L20&lt;AK22),AK22+1,""))</f>
        <v>#N/A</v>
      </c>
      <c r="AM22" s="253" t="e">
        <f>IF(AND(NOT($K20=$K21),BX$3&lt;=VLOOKUP($K21,D!$G$5:$I$16,3,0)),BX$3,IF(AND($K20=$K21,AL22&lt;VLOOKUP($K21,D!$G$5:$I$16,3,0),$L20&lt;AL22),AL22+1,""))</f>
        <v>#N/A</v>
      </c>
      <c r="AN22" s="253" t="e">
        <f>IF(AND(NOT($K20=$K21),BY$3&lt;=VLOOKUP($K21,D!$G$5:$I$16,3,0)),BY$3,IF(AND($K20=$K21,AM22&lt;VLOOKUP($K21,D!$G$5:$I$16,3,0),$L20&lt;AM22),AM22+1,""))</f>
        <v>#N/A</v>
      </c>
      <c r="AO22" s="253" t="e">
        <f>IF(AND(NOT($K20=$K21),BZ$3&lt;=VLOOKUP($K21,D!$G$5:$I$16,3,0)),BZ$3,IF(AND($K20=$K21,AN22&lt;VLOOKUP($K21,D!$G$5:$I$16,3,0),$L20&lt;AN22),AN22+1,""))</f>
        <v>#N/A</v>
      </c>
      <c r="AP22" s="253" t="e">
        <f>IF(AND(NOT($K20=$K21),CA$3&lt;=VLOOKUP($K21,D!$G$5:$I$16,3,0)),CA$3,IF(AND($K20=$K21,AO22&lt;VLOOKUP($K21,D!$G$5:$I$16,3,0),$L20&lt;AO22),AO22+1,""))</f>
        <v>#N/A</v>
      </c>
      <c r="AQ22" s="253" t="e">
        <f>IF(AND(NOT($K20=$K21),CB$3&lt;=VLOOKUP($K21,D!$G$5:$I$16,3,0)),CB$3,IF(AND($K20=$K21,AP22&lt;VLOOKUP($K21,D!$G$5:$I$16,3,0),$L20&lt;AP22),AP22+1,""))</f>
        <v>#N/A</v>
      </c>
      <c r="AR22" s="253" t="e">
        <f>IF(AND(NOT($K20=$K21),CC$3&lt;=VLOOKUP($K21,D!$G$5:$I$16,3,0)),CC$3,IF(AND($K20=$K21,AQ22&lt;VLOOKUP($K21,D!$G$5:$I$16,3,0),$L20&lt;AQ22),AQ22+1,""))</f>
        <v>#N/A</v>
      </c>
      <c r="AS22" s="253" t="e">
        <f>IF(AND(NOT($K20=$K21),CD$3&lt;=VLOOKUP($K21,D!$G$5:$I$16,3,0)),CD$3,IF(AND($K20=$K21,AR22&lt;VLOOKUP($K21,D!$G$5:$I$16,3,0),$L20&lt;AR22),AR22+1,""))</f>
        <v>#N/A</v>
      </c>
      <c r="AT22" s="253" t="e">
        <f>IF(AND(NOT($K20=$K21),CE$3&lt;=VLOOKUP($K21,D!$G$5:$I$16,3,0)),CE$3,IF(AND($K20=$K21,AS22&lt;VLOOKUP($K21,D!$G$5:$I$16,3,0),$L20&lt;AS22),AS22+1,""))</f>
        <v>#N/A</v>
      </c>
      <c r="AU22" s="253" t="e">
        <f>IF(AND(NOT($K20=$K21),CF$3&lt;=VLOOKUP($K21,D!$G$5:$I$16,3,0)),CF$3,IF(AND($K20=$K21,AT22&lt;VLOOKUP($K21,D!$G$5:$I$16,3,0),$L20&lt;AT22),AT22+1,""))</f>
        <v>#N/A</v>
      </c>
      <c r="AV22" s="253" t="e">
        <f>IF(AND(NOT($K20=$K21),CG$3&lt;=VLOOKUP($K21,D!$G$5:$I$16,3,0)),CG$3,IF(AND($K20=$K21,AU22&lt;VLOOKUP($K21,D!$G$5:$I$16,3,0),$L20&lt;AU22),AU22+1,""))</f>
        <v>#N/A</v>
      </c>
      <c r="AW22" s="253" t="e">
        <f>IF(AND(NOT($K20=$K21),CH$3&lt;=VLOOKUP($K21,D!$G$5:$I$16,3,0)),CH$3,IF(AND($K20=$K21,AV22&lt;VLOOKUP($K21,D!$G$5:$I$16,3,0),$L20&lt;AV22),AV22+1,""))</f>
        <v>#N/A</v>
      </c>
      <c r="AX22" s="253" t="e">
        <f>IF(AND(NOT($K20=$K21),CI$3&lt;=VLOOKUP($K21,D!$G$5:$I$16,3,0)),CI$3,IF(AND($K20=$K21,AW22&lt;VLOOKUP($K21,D!$G$5:$I$16,3,0),$L20&lt;AW22),AW22+1,""))</f>
        <v>#N/A</v>
      </c>
      <c r="AY22" s="253" t="e">
        <f>IF(AND(NOT($K20=$K21),CJ$3&lt;=VLOOKUP($K21,D!$G$5:$I$16,3,0)),CJ$3,IF(AND($K20=$K21,AX22&lt;VLOOKUP($K21,D!$G$5:$I$16,3,0),$L20&lt;AX22),AX22+1,""))</f>
        <v>#N/A</v>
      </c>
      <c r="AZ22" s="253" t="e">
        <f>IF(AND(NOT($K20=$K21),CK$3&lt;=VLOOKUP($K21,D!$G$5:$I$16,3,0)),CK$3,IF(AND($K20=$K21,AY22&lt;VLOOKUP($K21,D!$G$5:$I$16,3,0),$L20&lt;AY22),AY22+1,""))</f>
        <v>#N/A</v>
      </c>
      <c r="BA22" s="253" t="e">
        <f>IF(AND(NOT($K20=$K21),CL$3&lt;=VLOOKUP($K21,D!$G$5:$I$16,3,0)),CL$3,IF(AND($K20=$K21,AZ22&lt;VLOOKUP($K21,D!$G$5:$I$16,3,0),$L20&lt;AZ22),AZ22+1,""))</f>
        <v>#N/A</v>
      </c>
      <c r="BB22" s="253" t="e">
        <f>IF(AND(NOT($K20=$K21),CM$3&lt;=VLOOKUP($K21,D!$G$5:$I$16,3,0)),CM$3,IF(AND($K20=$K21,BA22&lt;VLOOKUP($K21,D!$G$5:$I$16,3,0),$L20&lt;BA22),BA22+1,""))</f>
        <v>#N/A</v>
      </c>
      <c r="BC22" s="253" t="e">
        <f>IF(AND(NOT($K20=$K21),CN$3&lt;=VLOOKUP($K21,D!$G$5:$I$16,3,0)),CN$3,IF(AND($K20=$K21,BB22&lt;VLOOKUP($K21,D!$G$5:$I$16,3,0),$L20&lt;BB22),BB22+1,""))</f>
        <v>#N/A</v>
      </c>
      <c r="BD22" s="253" t="e">
        <f>IF(AND(NOT($K20=$K21),CO$3&lt;=VLOOKUP($K21,D!$G$5:$I$16,3,0)),CO$3,IF(AND($K20=$K21,BC22&lt;VLOOKUP($K21,D!$G$5:$I$16,3,0),$L20&lt;BC22),BC22+1,""))</f>
        <v>#N/A</v>
      </c>
      <c r="BE22" s="253" t="e">
        <f>IF(AND(NOT($K20=$K21),CP$3&lt;=VLOOKUP($K21,D!$G$5:$I$16,3,0)),CP$3,IF(AND($K20=$K21,BD22&lt;VLOOKUP($K21,D!$G$5:$I$16,3,0),$L20&lt;BD22),BD22+1,""))</f>
        <v>#N/A</v>
      </c>
      <c r="BF22" s="253" t="e">
        <f>IF(AND(NOT($K20=$K21),CQ$3&lt;=VLOOKUP($K21,D!$G$5:$I$16,3,0)),CQ$3,IF(AND($K20=$K21,BE22&lt;VLOOKUP($K21,D!$G$5:$I$16,3,0),$L20&lt;BE22),BE22+1,""))</f>
        <v>#N/A</v>
      </c>
      <c r="BK22" s="1">
        <f t="shared" si="2"/>
        <v>16</v>
      </c>
      <c r="BM22" s="1" t="str">
        <f t="shared" si="3"/>
        <v xml:space="preserve"> </v>
      </c>
      <c r="BP22" s="1" t="str">
        <f>IF(DAY_SCH!A20="","",DAY_SCH!A20)</f>
        <v/>
      </c>
    </row>
    <row r="23" spans="1:77">
      <c r="A23" s="9"/>
      <c r="B23" s="260"/>
      <c r="C23" s="261"/>
      <c r="D23" s="261"/>
      <c r="E23" s="261"/>
      <c r="F23" s="267" t="s">
        <v>389</v>
      </c>
      <c r="G23" s="268" t="s">
        <v>93</v>
      </c>
      <c r="H23" s="268"/>
      <c r="I23" s="269"/>
      <c r="J23" s="267" t="str">
        <f t="shared" ref="J23:J32" si="4">$F23</f>
        <v>SUN:</v>
      </c>
      <c r="K23" s="268" t="s">
        <v>93</v>
      </c>
      <c r="L23" s="268"/>
      <c r="M23" s="269"/>
      <c r="N23" s="267" t="s">
        <v>389</v>
      </c>
      <c r="O23" s="268" t="s">
        <v>93</v>
      </c>
      <c r="P23" s="268"/>
      <c r="Q23" s="269"/>
      <c r="R23" s="267" t="s">
        <v>391</v>
      </c>
      <c r="S23" s="270" t="s">
        <v>93</v>
      </c>
      <c r="T23" s="270"/>
      <c r="U23" s="243"/>
      <c r="W23" s="258" t="str">
        <f>IF(OR(AND(VLOOKUP(G20,D!$G$4:$I$17,2,0)=D!$H$7,H20=VLOOKUP(G20,D!$G$4:$I$17,3,0)),VLOOKUP(G20,D!$G$4:$I$17,2,0)&gt;D!$H$7),"",LOOKUP(D!$H$7,D!$H$4:$H$17,D!$G$4:$G$17))</f>
        <v>March</v>
      </c>
      <c r="X23" s="258" t="str">
        <f>IF(OR(AND(VLOOKUP(K20,D!$G$4:$I$17,2,0)=D!$H$7,L20=VLOOKUP(K20,D!$G$4:$I$17,3,0)),VLOOKUP(K20,D!$G$4:$I$17,2,0)&gt;D!$H$7),"",LOOKUP(D!$H$7,D!$H$4:$H$17,D!$G$4:$G$17))</f>
        <v>March</v>
      </c>
      <c r="Y23" s="258" t="e">
        <f>IF(OR(AND(VLOOKUP(O20,D!$G$4:$I$17,2,0)=D!$H$7,P20=VLOOKUP(O20,D!$G$4:$I$17,3,0)),VLOOKUP(O20,D!$G$4:$I$17,2,0)&gt;D!$H$7),"",LOOKUP(D!$H$7,D!$H$4:$H$17,D!$G$4:$G$17))</f>
        <v>#N/A</v>
      </c>
      <c r="Z23" s="258" t="e">
        <f>IF(OR(AND(VLOOKUP(S20,D!$G$4:$I$17,2,0)=D!$H$7,T20=VLOOKUP(S20,D!$G$4:$I$17,3,0)),VLOOKUP(S20,D!$G$4:$I$17,2,0)&gt;D!$H$7),"",LOOKUP(D!$H$7,D!$H$4:$H$17,D!$G$4:$G$17))</f>
        <v>#N/A</v>
      </c>
      <c r="AA23" s="1" t="str">
        <f>" "</f>
        <v xml:space="preserve"> </v>
      </c>
      <c r="AB23" s="253" t="e">
        <f>IF(AND(NOT($O20=$O21),BM$3&lt;=VLOOKUP($O21,D!$G$5:$I$16,3,0)),BM$3,IF(AND($O20=$O21,$P20&lt;VLOOKUP($O21,D!$G$5:$I$16,3,0)),$P20+1,""))</f>
        <v>#N/A</v>
      </c>
      <c r="AC23" s="253" t="e">
        <f>IF(AND(NOT($O20=$O21),BN$3&lt;=VLOOKUP($O21,D!$G$5:$I$16,3,0)),BN$3,IF(AND($O20=$O21,AB23&lt;VLOOKUP($O21,D!$G$5:$I$16,3,0),$P20&lt;AB23),AB23+1,""))</f>
        <v>#N/A</v>
      </c>
      <c r="AD23" s="253" t="e">
        <f>IF(AND(NOT($O20=$O21),BO$3&lt;=VLOOKUP($O21,D!$G$5:$I$16,3,0)),BO$3,IF(AND($O20=$O21,AC23&lt;VLOOKUP($O21,D!$G$5:$I$16,3,0),$P20&lt;AC23),AC23+1,""))</f>
        <v>#N/A</v>
      </c>
      <c r="AE23" s="253" t="e">
        <f>IF(AND(NOT($O20=$O21),BP$3&lt;=VLOOKUP($O21,D!$G$5:$I$16,3,0)),BP$3,IF(AND($O20=$O21,AD23&lt;VLOOKUP($O21,D!$G$5:$I$16,3,0),$P20&lt;AD23),AD23+1,""))</f>
        <v>#N/A</v>
      </c>
      <c r="AF23" s="253" t="e">
        <f>IF(AND(NOT($O20=$O21),BQ$3&lt;=VLOOKUP($O21,D!$G$5:$I$16,3,0)),BQ$3,IF(AND($O20=$O21,AE23&lt;VLOOKUP($O21,D!$G$5:$I$16,3,0),$P20&lt;AE23),AE23+1,""))</f>
        <v>#N/A</v>
      </c>
      <c r="AG23" s="253" t="e">
        <f>IF(AND(NOT($O20=$O21),BR$3&lt;=VLOOKUP($O21,D!$G$5:$I$16,3,0)),BR$3,IF(AND($O20=$O21,AF23&lt;VLOOKUP($O21,D!$G$5:$I$16,3,0),$P20&lt;AF23),AF23+1,""))</f>
        <v>#N/A</v>
      </c>
      <c r="AH23" s="253" t="e">
        <f>IF(AND(NOT($O20=$O21),BS$3&lt;=VLOOKUP($O21,D!$G$5:$I$16,3,0)),BS$3,IF(AND($O20=$O21,AG23&lt;VLOOKUP($O21,D!$G$5:$I$16,3,0),$P20&lt;AG23),AG23+1,""))</f>
        <v>#N/A</v>
      </c>
      <c r="AI23" s="253" t="e">
        <f>IF(AND(NOT($O20=$O21),BT$3&lt;=VLOOKUP($O21,D!$G$5:$I$16,3,0)),BT$3,IF(AND($O20=$O21,AH23&lt;VLOOKUP($O21,D!$G$5:$I$16,3,0),$P20&lt;AH23),AH23+1,""))</f>
        <v>#N/A</v>
      </c>
      <c r="AJ23" s="253" t="e">
        <f>IF(AND(NOT($O20=$O21),BU$3&lt;=VLOOKUP($O21,D!$G$5:$I$16,3,0)),BU$3,IF(AND($O20=$O21,AI23&lt;VLOOKUP($O21,D!$G$5:$I$16,3,0),$P20&lt;AI23),AI23+1,""))</f>
        <v>#N/A</v>
      </c>
      <c r="AK23" s="253" t="e">
        <f>IF(AND(NOT($O20=$O21),BV$3&lt;=VLOOKUP($O21,D!$G$5:$I$16,3,0)),BV$3,IF(AND($O20=$O21,AJ23&lt;VLOOKUP($O21,D!$G$5:$I$16,3,0),$P20&lt;AJ23),AJ23+1,""))</f>
        <v>#N/A</v>
      </c>
      <c r="AL23" s="253" t="e">
        <f>IF(AND(NOT($O20=$O21),BW$3&lt;=VLOOKUP($O21,D!$G$5:$I$16,3,0)),BW$3,IF(AND($O20=$O21,AK23&lt;VLOOKUP($O21,D!$G$5:$I$16,3,0),$P20&lt;AK23),AK23+1,""))</f>
        <v>#N/A</v>
      </c>
      <c r="AM23" s="253" t="e">
        <f>IF(AND(NOT($O20=$O21),BX$3&lt;=VLOOKUP($O21,D!$G$5:$I$16,3,0)),BX$3,IF(AND($O20=$O21,AL23&lt;VLOOKUP($O21,D!$G$5:$I$16,3,0),$P20&lt;AL23),AL23+1,""))</f>
        <v>#N/A</v>
      </c>
      <c r="AN23" s="253" t="e">
        <f>IF(AND(NOT($O20=$O21),BY$3&lt;=VLOOKUP($O21,D!$G$5:$I$16,3,0)),BY$3,IF(AND($O20=$O21,AM23&lt;VLOOKUP($O21,D!$G$5:$I$16,3,0),$P20&lt;AM23),AM23+1,""))</f>
        <v>#N/A</v>
      </c>
      <c r="AO23" s="253" t="e">
        <f>IF(AND(NOT($O20=$O21),BZ$3&lt;=VLOOKUP($O21,D!$G$5:$I$16,3,0)),BZ$3,IF(AND($O20=$O21,AN23&lt;VLOOKUP($O21,D!$G$5:$I$16,3,0),$P20&lt;AN23),AN23+1,""))</f>
        <v>#N/A</v>
      </c>
      <c r="AP23" s="253" t="e">
        <f>IF(AND(NOT($O20=$O21),CA$3&lt;=VLOOKUP($O21,D!$G$5:$I$16,3,0)),CA$3,IF(AND($O20=$O21,AO23&lt;VLOOKUP($O21,D!$G$5:$I$16,3,0),$P20&lt;AO23),AO23+1,""))</f>
        <v>#N/A</v>
      </c>
      <c r="AQ23" s="253" t="e">
        <f>IF(AND(NOT($O20=$O21),CB$3&lt;=VLOOKUP($O21,D!$G$5:$I$16,3,0)),CB$3,IF(AND($O20=$O21,AP23&lt;VLOOKUP($O21,D!$G$5:$I$16,3,0),$P20&lt;AP23),AP23+1,""))</f>
        <v>#N/A</v>
      </c>
      <c r="AR23" s="253" t="e">
        <f>IF(AND(NOT($O20=$O21),CC$3&lt;=VLOOKUP($O21,D!$G$5:$I$16,3,0)),CC$3,IF(AND($O20=$O21,AQ23&lt;VLOOKUP($O21,D!$G$5:$I$16,3,0),$P20&lt;AQ23),AQ23+1,""))</f>
        <v>#N/A</v>
      </c>
      <c r="AS23" s="253" t="e">
        <f>IF(AND(NOT($O20=$O21),CD$3&lt;=VLOOKUP($O21,D!$G$5:$I$16,3,0)),CD$3,IF(AND($O20=$O21,AR23&lt;VLOOKUP($O21,D!$G$5:$I$16,3,0),$P20&lt;AR23),AR23+1,""))</f>
        <v>#N/A</v>
      </c>
      <c r="AT23" s="253" t="e">
        <f>IF(AND(NOT($O20=$O21),CE$3&lt;=VLOOKUP($O21,D!$G$5:$I$16,3,0)),CE$3,IF(AND($O20=$O21,AS23&lt;VLOOKUP($O21,D!$G$5:$I$16,3,0),$P20&lt;AS23),AS23+1,""))</f>
        <v>#N/A</v>
      </c>
      <c r="AU23" s="253" t="e">
        <f>IF(AND(NOT($O20=$O21),CF$3&lt;=VLOOKUP($O21,D!$G$5:$I$16,3,0)),CF$3,IF(AND($O20=$O21,AT23&lt;VLOOKUP($O21,D!$G$5:$I$16,3,0),$P20&lt;AT23),AT23+1,""))</f>
        <v>#N/A</v>
      </c>
      <c r="AV23" s="253" t="e">
        <f>IF(AND(NOT($O20=$O21),CG$3&lt;=VLOOKUP($O21,D!$G$5:$I$16,3,0)),CG$3,IF(AND($O20=$O21,AU23&lt;VLOOKUP($O21,D!$G$5:$I$16,3,0),$P20&lt;AU23),AU23+1,""))</f>
        <v>#N/A</v>
      </c>
      <c r="AW23" s="253" t="e">
        <f>IF(AND(NOT($O20=$O21),CH$3&lt;=VLOOKUP($O21,D!$G$5:$I$16,3,0)),CH$3,IF(AND($O20=$O21,AV23&lt;VLOOKUP($O21,D!$G$5:$I$16,3,0),$P20&lt;AV23),AV23+1,""))</f>
        <v>#N/A</v>
      </c>
      <c r="AX23" s="253" t="e">
        <f>IF(AND(NOT($O20=$O21),CI$3&lt;=VLOOKUP($O21,D!$G$5:$I$16,3,0)),CI$3,IF(AND($O20=$O21,AW23&lt;VLOOKUP($O21,D!$G$5:$I$16,3,0),$P20&lt;AW23),AW23+1,""))</f>
        <v>#N/A</v>
      </c>
      <c r="AY23" s="253" t="e">
        <f>IF(AND(NOT($O20=$O21),CJ$3&lt;=VLOOKUP($O21,D!$G$5:$I$16,3,0)),CJ$3,IF(AND($O20=$O21,AX23&lt;VLOOKUP($O21,D!$G$5:$I$16,3,0),$P20&lt;AX23),AX23+1,""))</f>
        <v>#N/A</v>
      </c>
      <c r="AZ23" s="253" t="e">
        <f>IF(AND(NOT($O20=$O21),CK$3&lt;=VLOOKUP($O21,D!$G$5:$I$16,3,0)),CK$3,IF(AND($O20=$O21,AY23&lt;VLOOKUP($O21,D!$G$5:$I$16,3,0),$P20&lt;AY23),AY23+1,""))</f>
        <v>#N/A</v>
      </c>
      <c r="BA23" s="253" t="e">
        <f>IF(AND(NOT($O20=$O21),CL$3&lt;=VLOOKUP($O21,D!$G$5:$I$16,3,0)),CL$3,IF(AND($O20=$O21,AZ23&lt;VLOOKUP($O21,D!$G$5:$I$16,3,0),$P20&lt;AZ23),AZ23+1,""))</f>
        <v>#N/A</v>
      </c>
      <c r="BB23" s="253" t="e">
        <f>IF(AND(NOT($O20=$O21),CM$3&lt;=VLOOKUP($O21,D!$G$5:$I$16,3,0)),CM$3,IF(AND($O20=$O21,BA23&lt;VLOOKUP($O21,D!$G$5:$I$16,3,0),$P20&lt;BA23),BA23+1,""))</f>
        <v>#N/A</v>
      </c>
      <c r="BC23" s="253" t="e">
        <f>IF(AND(NOT($O20=$O21),CN$3&lt;=VLOOKUP($O21,D!$G$5:$I$16,3,0)),CN$3,IF(AND($O20=$O21,BB23&lt;VLOOKUP($O21,D!$G$5:$I$16,3,0),$P20&lt;BB23),BB23+1,""))</f>
        <v>#N/A</v>
      </c>
      <c r="BD23" s="253" t="e">
        <f>IF(AND(NOT($O20=$O21),CO$3&lt;=VLOOKUP($O21,D!$G$5:$I$16,3,0)),CO$3,IF(AND($O20=$O21,BC23&lt;VLOOKUP($O21,D!$G$5:$I$16,3,0),$P20&lt;BC23),BC23+1,""))</f>
        <v>#N/A</v>
      </c>
      <c r="BE23" s="253" t="e">
        <f>IF(AND(NOT($O20=$O21),CP$3&lt;=VLOOKUP($O21,D!$G$5:$I$16,3,0)),CP$3,IF(AND($O20=$O21,BD23&lt;VLOOKUP($O21,D!$G$5:$I$16,3,0),$P20&lt;BD23),BD23+1,""))</f>
        <v>#N/A</v>
      </c>
      <c r="BF23" s="253" t="e">
        <f>IF(AND(NOT($O20=$O21),CQ$3&lt;=VLOOKUP($O21,D!$G$5:$I$16,3,0)),CQ$3,IF(AND($O20=$O21,BE23&lt;VLOOKUP($O21,D!$G$5:$I$16,3,0),$P20&lt;BE23),BE23+1,""))</f>
        <v>#N/A</v>
      </c>
      <c r="BK23" s="1">
        <f t="shared" si="2"/>
        <v>17</v>
      </c>
      <c r="BM23" s="1" t="str">
        <f t="shared" si="3"/>
        <v xml:space="preserve"> </v>
      </c>
      <c r="BP23" s="1" t="str">
        <f>IF(DAY_SCH!A21="","",DAY_SCH!A21)</f>
        <v/>
      </c>
    </row>
    <row r="24" spans="1:77">
      <c r="A24" s="9"/>
      <c r="B24" s="260"/>
      <c r="C24" s="279" t="s">
        <v>395</v>
      </c>
      <c r="D24" s="262"/>
      <c r="E24" s="262"/>
      <c r="F24" s="267" t="s">
        <v>396</v>
      </c>
      <c r="G24" s="268" t="s">
        <v>93</v>
      </c>
      <c r="H24" s="268"/>
      <c r="I24" s="264"/>
      <c r="J24" s="267" t="str">
        <f t="shared" si="4"/>
        <v>MON:</v>
      </c>
      <c r="K24" s="268" t="s">
        <v>93</v>
      </c>
      <c r="L24" s="268"/>
      <c r="M24" s="269"/>
      <c r="N24" s="267" t="s">
        <v>396</v>
      </c>
      <c r="O24" s="268" t="s">
        <v>93</v>
      </c>
      <c r="P24" s="268"/>
      <c r="Q24" s="269"/>
      <c r="R24" s="267" t="s">
        <v>397</v>
      </c>
      <c r="S24" s="270" t="s">
        <v>93</v>
      </c>
      <c r="T24" s="270"/>
      <c r="U24" s="243"/>
      <c r="W24" s="258" t="str">
        <f>IF(OR(AND(VLOOKUP(G20,D!$G$4:$I$17,2,0)=D!$H$8,H20=VLOOKUP(G20,D!$G$4:$I$17,3,0)),VLOOKUP(G20,D!$G$4:$I$17,2,0)&gt;D!$H$8),"",LOOKUP(D!$H$8,D!$H$4:$H$17,D!$G$4:$G$17))</f>
        <v>April</v>
      </c>
      <c r="X24" s="258" t="str">
        <f>IF(OR(AND(VLOOKUP(K20,D!$G$4:$I$17,2,0)=D!$H$8,L20=VLOOKUP(K20,D!$G$4:$I$17,3,0)),VLOOKUP(K20,D!$G$4:$I$17,2,0)&gt;D!$H$8),"",LOOKUP(D!$H$8,D!$H$4:$H$17,D!$G$4:$G$17))</f>
        <v>April</v>
      </c>
      <c r="Y24" s="258" t="e">
        <f>IF(OR(AND(VLOOKUP(O20,D!$G$4:$I$17,2,0)=D!$H$8,P20=VLOOKUP(O20,D!$G$4:$I$17,3,0)),VLOOKUP(O20,D!$G$4:$I$17,2,0)&gt;D!$H$8),"",LOOKUP(D!$H$8,D!$H$4:$H$17,D!$G$4:$G$17))</f>
        <v>#N/A</v>
      </c>
      <c r="Z24" s="258" t="e">
        <f>IF(OR(AND(VLOOKUP(S20,D!$G$4:$I$17,2,0)=D!$H$8,T20=VLOOKUP(S20,D!$G$4:$I$17,3,0)),VLOOKUP(S20,D!$G$4:$I$17,2,0)&gt;D!$H$8),"",LOOKUP(D!$H$8,D!$H$4:$H$17,D!$G$4:$G$17))</f>
        <v>#N/A</v>
      </c>
      <c r="AA24" s="1" t="str">
        <f>" "</f>
        <v xml:space="preserve"> </v>
      </c>
      <c r="AB24" s="253" t="e">
        <f>IF(AND(NOT($S20=$S21),BM$3&lt;=VLOOKUP($S21,D!$G$5:$I$16,3,0)),BM$3,IF(AND($S20=$S21,$T20&lt;VLOOKUP($S21,D!$G$5:$I$16,3,0)),$T20+1,""))</f>
        <v>#N/A</v>
      </c>
      <c r="AC24" s="253" t="e">
        <f>IF(AND(NOT($S20=$S21),BN$3&lt;=VLOOKUP($S21,D!$G$5:$I$16,3,0)),BN$3,IF(AND($S20=$S21,AB24&lt;VLOOKUP($S21,D!$G$5:$I$16,3,0),$T20&lt;AB24),AB24+1,""))</f>
        <v>#N/A</v>
      </c>
      <c r="AD24" s="253" t="e">
        <f>IF(AND(NOT($S20=$S21),BO$3&lt;=VLOOKUP($S21,D!$G$5:$I$16,3,0)),BO$3,IF(AND($S20=$S21,AC24&lt;VLOOKUP($S21,D!$G$5:$I$16,3,0),$T20&lt;AC24),AC24+1,""))</f>
        <v>#N/A</v>
      </c>
      <c r="AE24" s="253" t="e">
        <f>IF(AND(NOT($S20=$S21),BP$3&lt;=VLOOKUP($S21,D!$G$5:$I$16,3,0)),BP$3,IF(AND($S20=$S21,AD24&lt;VLOOKUP($S21,D!$G$5:$I$16,3,0),$T20&lt;AD24),AD24+1,""))</f>
        <v>#N/A</v>
      </c>
      <c r="AF24" s="253" t="e">
        <f>IF(AND(NOT($S20=$S21),BQ$3&lt;=VLOOKUP($S21,D!$G$5:$I$16,3,0)),BQ$3,IF(AND($S20=$S21,AE24&lt;VLOOKUP($S21,D!$G$5:$I$16,3,0),$T20&lt;AE24),AE24+1,""))</f>
        <v>#N/A</v>
      </c>
      <c r="AG24" s="253" t="e">
        <f>IF(AND(NOT($S20=$S21),BR$3&lt;=VLOOKUP($S21,D!$G$5:$I$16,3,0)),BR$3,IF(AND($S20=$S21,AF24&lt;VLOOKUP($S21,D!$G$5:$I$16,3,0),$T20&lt;AF24),AF24+1,""))</f>
        <v>#N/A</v>
      </c>
      <c r="AH24" s="253" t="e">
        <f>IF(AND(NOT($S20=$S21),BS$3&lt;=VLOOKUP($S21,D!$G$5:$I$16,3,0)),BS$3,IF(AND($S20=$S21,AG24&lt;VLOOKUP($S21,D!$G$5:$I$16,3,0),$T20&lt;AG24),AG24+1,""))</f>
        <v>#N/A</v>
      </c>
      <c r="AI24" s="253" t="e">
        <f>IF(AND(NOT($S20=$S21),BT$3&lt;=VLOOKUP($S21,D!$G$5:$I$16,3,0)),BT$3,IF(AND($S20=$S21,AH24&lt;VLOOKUP($S21,D!$G$5:$I$16,3,0),$T20&lt;AH24),AH24+1,""))</f>
        <v>#N/A</v>
      </c>
      <c r="AJ24" s="253" t="e">
        <f>IF(AND(NOT($S20=$S21),BU$3&lt;=VLOOKUP($S21,D!$G$5:$I$16,3,0)),BU$3,IF(AND($S20=$S21,AI24&lt;VLOOKUP($S21,D!$G$5:$I$16,3,0),$T20&lt;AI24),AI24+1,""))</f>
        <v>#N/A</v>
      </c>
      <c r="AK24" s="253" t="e">
        <f>IF(AND(NOT($S20=$S21),BV$3&lt;=VLOOKUP($S21,D!$G$5:$I$16,3,0)),BV$3,IF(AND($S20=$S21,AJ24&lt;VLOOKUP($S21,D!$G$5:$I$16,3,0),$T20&lt;AJ24),AJ24+1,""))</f>
        <v>#N/A</v>
      </c>
      <c r="AL24" s="253" t="e">
        <f>IF(AND(NOT($S20=$S21),BW$3&lt;=VLOOKUP($S21,D!$G$5:$I$16,3,0)),BW$3,IF(AND($S20=$S21,AK24&lt;VLOOKUP($S21,D!$G$5:$I$16,3,0),$T20&lt;AK24),AK24+1,""))</f>
        <v>#N/A</v>
      </c>
      <c r="AM24" s="253" t="e">
        <f>IF(AND(NOT($S20=$S21),BX$3&lt;=VLOOKUP($S21,D!$G$5:$I$16,3,0)),BX$3,IF(AND($S20=$S21,AL24&lt;VLOOKUP($S21,D!$G$5:$I$16,3,0),$T20&lt;AL24),AL24+1,""))</f>
        <v>#N/A</v>
      </c>
      <c r="AN24" s="253" t="e">
        <f>IF(AND(NOT($S20=$S21),BY$3&lt;=VLOOKUP($S21,D!$G$5:$I$16,3,0)),BY$3,IF(AND($S20=$S21,AM24&lt;VLOOKUP($S21,D!$G$5:$I$16,3,0),$T20&lt;AM24),AM24+1,""))</f>
        <v>#N/A</v>
      </c>
      <c r="AO24" s="253" t="e">
        <f>IF(AND(NOT($S20=$S21),BZ$3&lt;=VLOOKUP($S21,D!$G$5:$I$16,3,0)),BZ$3,IF(AND($S20=$S21,AN24&lt;VLOOKUP($S21,D!$G$5:$I$16,3,0),$T20&lt;AN24),AN24+1,""))</f>
        <v>#N/A</v>
      </c>
      <c r="AP24" s="253" t="e">
        <f>IF(AND(NOT($S20=$S21),CA$3&lt;=VLOOKUP($S21,D!$G$5:$I$16,3,0)),CA$3,IF(AND($S20=$S21,AO24&lt;VLOOKUP($S21,D!$G$5:$I$16,3,0),$T20&lt;AO24),AO24+1,""))</f>
        <v>#N/A</v>
      </c>
      <c r="AQ24" s="253" t="e">
        <f>IF(AND(NOT($S20=$S21),CB$3&lt;=VLOOKUP($S21,D!$G$5:$I$16,3,0)),CB$3,IF(AND($S20=$S21,AP24&lt;VLOOKUP($S21,D!$G$5:$I$16,3,0),$T20&lt;AP24),AP24+1,""))</f>
        <v>#N/A</v>
      </c>
      <c r="AR24" s="253" t="e">
        <f>IF(AND(NOT($S20=$S21),CC$3&lt;=VLOOKUP($S21,D!$G$5:$I$16,3,0)),CC$3,IF(AND($S20=$S21,AQ24&lt;VLOOKUP($S21,D!$G$5:$I$16,3,0),$T20&lt;AQ24),AQ24+1,""))</f>
        <v>#N/A</v>
      </c>
      <c r="AS24" s="253" t="e">
        <f>IF(AND(NOT($S20=$S21),CD$3&lt;=VLOOKUP($S21,D!$G$5:$I$16,3,0)),CD$3,IF(AND($S20=$S21,AR24&lt;VLOOKUP($S21,D!$G$5:$I$16,3,0),$T20&lt;AR24),AR24+1,""))</f>
        <v>#N/A</v>
      </c>
      <c r="AT24" s="253" t="e">
        <f>IF(AND(NOT($S20=$S21),CE$3&lt;=VLOOKUP($S21,D!$G$5:$I$16,3,0)),CE$3,IF(AND($S20=$S21,AS24&lt;VLOOKUP($S21,D!$G$5:$I$16,3,0),$T20&lt;AS24),AS24+1,""))</f>
        <v>#N/A</v>
      </c>
      <c r="AU24" s="253" t="e">
        <f>IF(AND(NOT($S20=$S21),CF$3&lt;=VLOOKUP($S21,D!$G$5:$I$16,3,0)),CF$3,IF(AND($S20=$S21,AT24&lt;VLOOKUP($S21,D!$G$5:$I$16,3,0),$T20&lt;AT24),AT24+1,""))</f>
        <v>#N/A</v>
      </c>
      <c r="AV24" s="253" t="e">
        <f>IF(AND(NOT($S20=$S21),CG$3&lt;=VLOOKUP($S21,D!$G$5:$I$16,3,0)),CG$3,IF(AND($S20=$S21,AU24&lt;VLOOKUP($S21,D!$G$5:$I$16,3,0),$T20&lt;AU24),AU24+1,""))</f>
        <v>#N/A</v>
      </c>
      <c r="AW24" s="253" t="e">
        <f>IF(AND(NOT($S20=$S21),CH$3&lt;=VLOOKUP($S21,D!$G$5:$I$16,3,0)),CH$3,IF(AND($S20=$S21,AV24&lt;VLOOKUP($S21,D!$G$5:$I$16,3,0),$T20&lt;AV24),AV24+1,""))</f>
        <v>#N/A</v>
      </c>
      <c r="AX24" s="253" t="e">
        <f>IF(AND(NOT($S20=$S21),CI$3&lt;=VLOOKUP($S21,D!$G$5:$I$16,3,0)),CI$3,IF(AND($S20=$S21,AW24&lt;VLOOKUP($S21,D!$G$5:$I$16,3,0),$T20&lt;AW24),AW24+1,""))</f>
        <v>#N/A</v>
      </c>
      <c r="AY24" s="253" t="e">
        <f>IF(AND(NOT($S20=$S21),CJ$3&lt;=VLOOKUP($S21,D!$G$5:$I$16,3,0)),CJ$3,IF(AND($S20=$S21,AX24&lt;VLOOKUP($S21,D!$G$5:$I$16,3,0),$T20&lt;AX24),AX24+1,""))</f>
        <v>#N/A</v>
      </c>
      <c r="AZ24" s="253" t="e">
        <f>IF(AND(NOT($S20=$S21),CK$3&lt;=VLOOKUP($S21,D!$G$5:$I$16,3,0)),CK$3,IF(AND($S20=$S21,AY24&lt;VLOOKUP($S21,D!$G$5:$I$16,3,0),$T20&lt;AY24),AY24+1,""))</f>
        <v>#N/A</v>
      </c>
      <c r="BA24" s="253" t="e">
        <f>IF(AND(NOT($S20=$S21),CL$3&lt;=VLOOKUP($S21,D!$G$5:$I$16,3,0)),CL$3,IF(AND($S20=$S21,AZ24&lt;VLOOKUP($S21,D!$G$5:$I$16,3,0),$T20&lt;AZ24),AZ24+1,""))</f>
        <v>#N/A</v>
      </c>
      <c r="BB24" s="253" t="e">
        <f>IF(AND(NOT($S20=$S21),CM$3&lt;=VLOOKUP($S21,D!$G$5:$I$16,3,0)),CM$3,IF(AND($S20=$S21,BA24&lt;VLOOKUP($S21,D!$G$5:$I$16,3,0),$T20&lt;BA24),BA24+1,""))</f>
        <v>#N/A</v>
      </c>
      <c r="BC24" s="253" t="e">
        <f>IF(AND(NOT($S20=$S21),CN$3&lt;=VLOOKUP($S21,D!$G$5:$I$16,3,0)),CN$3,IF(AND($S20=$S21,BB24&lt;VLOOKUP($S21,D!$G$5:$I$16,3,0),$T20&lt;BB24),BB24+1,""))</f>
        <v>#N/A</v>
      </c>
      <c r="BD24" s="253" t="e">
        <f>IF(AND(NOT($S20=$S21),CO$3&lt;=VLOOKUP($S21,D!$G$5:$I$16,3,0)),CO$3,IF(AND($S20=$S21,BC24&lt;VLOOKUP($S21,D!$G$5:$I$16,3,0),$T20&lt;BC24),BC24+1,""))</f>
        <v>#N/A</v>
      </c>
      <c r="BE24" s="253" t="e">
        <f>IF(AND(NOT($S20=$S21),CP$3&lt;=VLOOKUP($S21,D!$G$5:$I$16,3,0)),CP$3,IF(AND($S20=$S21,BD24&lt;VLOOKUP($S21,D!$G$5:$I$16,3,0),$T20&lt;BD24),BD24+1,""))</f>
        <v>#N/A</v>
      </c>
      <c r="BF24" s="253" t="e">
        <f>IF(AND(NOT($S20=$S21),CQ$3&lt;=VLOOKUP($S21,D!$G$5:$I$16,3,0)),CQ$3,IF(AND($S20=$S21,BE24&lt;VLOOKUP($S21,D!$G$5:$I$16,3,0),$T20&lt;BE24),BE24+1,""))</f>
        <v>#N/A</v>
      </c>
      <c r="BK24" s="1">
        <f t="shared" si="2"/>
        <v>18</v>
      </c>
      <c r="BM24" s="1" t="str">
        <f t="shared" si="3"/>
        <v xml:space="preserve"> </v>
      </c>
      <c r="BP24" s="1" t="str">
        <f>IF(DAY_SCH!A22="","",DAY_SCH!A22)</f>
        <v/>
      </c>
    </row>
    <row r="25" spans="1:77">
      <c r="A25" s="9"/>
      <c r="B25" s="260"/>
      <c r="C25" s="280" t="s">
        <v>93</v>
      </c>
      <c r="D25" s="280"/>
      <c r="E25" s="280"/>
      <c r="F25" s="267" t="s">
        <v>402</v>
      </c>
      <c r="G25" s="268" t="s">
        <v>93</v>
      </c>
      <c r="H25" s="268"/>
      <c r="I25" s="264"/>
      <c r="J25" s="267" t="str">
        <f t="shared" si="4"/>
        <v>TUE:</v>
      </c>
      <c r="K25" s="268" t="s">
        <v>93</v>
      </c>
      <c r="L25" s="268"/>
      <c r="M25" s="269"/>
      <c r="N25" s="267" t="s">
        <v>402</v>
      </c>
      <c r="O25" s="268" t="s">
        <v>93</v>
      </c>
      <c r="P25" s="268"/>
      <c r="Q25" s="269"/>
      <c r="R25" s="267" t="s">
        <v>403</v>
      </c>
      <c r="S25" s="270" t="s">
        <v>93</v>
      </c>
      <c r="T25" s="270"/>
      <c r="U25" s="243"/>
      <c r="W25" s="258" t="str">
        <f>IF(OR(AND(VLOOKUP(G20,D!$G$4:$I$17,2,0)=D!$H$9,H20=VLOOKUP(G20,D!$G$4:$I$17,3,0)),VLOOKUP(G20,D!$G$4:$I$17,2,0)&gt;D!$H$9),"",LOOKUP(D!$H$9,D!$H$4:$H$17,D!$G$4:$G$17))</f>
        <v>May</v>
      </c>
      <c r="X25" s="258" t="str">
        <f>IF(OR(AND(VLOOKUP(K20,D!$G$4:$I$17,2,0)=D!$H$9,L20=VLOOKUP(K20,D!$G$4:$I$17,3,0)),VLOOKUP(K20,D!$G$4:$I$17,2,0)&gt;D!$H$9),"",LOOKUP(D!$H$9,D!$H$4:$H$17,D!$G$4:$G$17))</f>
        <v>May</v>
      </c>
      <c r="Y25" s="258" t="e">
        <f>IF(OR(AND(VLOOKUP(O20,D!$G$4:$I$17,2,0)=D!$H$9,P20=VLOOKUP(O20,D!$G$4:$I$17,3,0)),VLOOKUP(O20,D!$G$4:$I$17,2,0)&gt;D!$H$9),"",LOOKUP(D!$H$9,D!$H$4:$H$17,D!$G$4:$G$17))</f>
        <v>#N/A</v>
      </c>
      <c r="Z25" s="258" t="e">
        <f>IF(OR(AND(VLOOKUP(S20,D!$G$4:$I$17,2,0)=D!$H$9,T20=VLOOKUP(S20,D!$G$4:$I$17,3,0)),VLOOKUP(S20,D!$G$4:$I$17,2,0)&gt;D!$H$9),"",LOOKUP(D!$H$9,D!$H$4:$H$17,D!$G$4:$G$17))</f>
        <v>#N/A</v>
      </c>
      <c r="AN25" s="273"/>
      <c r="AO25" s="273"/>
      <c r="AP25" s="273"/>
      <c r="AR25" s="273"/>
      <c r="AS25" s="273"/>
      <c r="AT25" s="273"/>
      <c r="AV25" s="273"/>
      <c r="AW25" s="273"/>
      <c r="AX25" s="273"/>
      <c r="AZ25" s="273"/>
      <c r="BA25" s="273"/>
      <c r="BB25" s="273"/>
      <c r="BC25" s="266"/>
      <c r="BD25" s="266"/>
      <c r="BE25" s="266"/>
      <c r="BF25" s="266"/>
      <c r="BK25" s="1">
        <f t="shared" si="2"/>
        <v>19</v>
      </c>
      <c r="BM25" s="1" t="str">
        <f t="shared" si="3"/>
        <v xml:space="preserve"> </v>
      </c>
      <c r="BP25" s="1" t="str">
        <f>IF(DAY_SCH!A23="","",DAY_SCH!A23)</f>
        <v/>
      </c>
    </row>
    <row r="26" spans="1:77">
      <c r="A26" s="9"/>
      <c r="B26" s="260"/>
      <c r="C26" s="280"/>
      <c r="D26" s="280"/>
      <c r="E26" s="280"/>
      <c r="F26" s="267" t="s">
        <v>407</v>
      </c>
      <c r="G26" s="268" t="s">
        <v>93</v>
      </c>
      <c r="H26" s="268"/>
      <c r="I26" s="264"/>
      <c r="J26" s="267" t="str">
        <f t="shared" si="4"/>
        <v>WED:</v>
      </c>
      <c r="K26" s="268" t="s">
        <v>93</v>
      </c>
      <c r="L26" s="268"/>
      <c r="M26" s="269"/>
      <c r="N26" s="267" t="s">
        <v>407</v>
      </c>
      <c r="O26" s="268" t="s">
        <v>93</v>
      </c>
      <c r="P26" s="268"/>
      <c r="Q26" s="269"/>
      <c r="R26" s="267" t="s">
        <v>408</v>
      </c>
      <c r="S26" s="270" t="s">
        <v>93</v>
      </c>
      <c r="T26" s="270"/>
      <c r="U26" s="243"/>
      <c r="W26" s="258" t="str">
        <f>IF(OR(AND(VLOOKUP(G20,D!$G$4:$I$17,2,0)=D!$H$10,H20=VLOOKUP(G20,D!$G$4:$I$17,3,0)),VLOOKUP(G20,D!$G$4:$I$17,2,0)&gt;D!$H$10),"",LOOKUP(D!$H$10,D!$H$4:$H$17,D!$G$4:$G$17))</f>
        <v>June</v>
      </c>
      <c r="X26" s="258" t="str">
        <f>IF(OR(AND(VLOOKUP(K20,D!$G$4:$I$17,2,0)=D!$H$10,L20=VLOOKUP(K20,D!$G$4:$I$17,3,0)),VLOOKUP(K20,D!$G$4:$I$17,2,0)&gt;D!$H$10),"",LOOKUP(D!$H$10,D!$H$4:$H$17,D!$G$4:$G$17))</f>
        <v>June</v>
      </c>
      <c r="Y26" s="258" t="e">
        <f>IF(OR(AND(VLOOKUP(O20,D!$G$4:$I$17,2,0)=D!$H$10,P20=VLOOKUP(O20,D!$G$4:$I$17,3,0)),VLOOKUP(O20,D!$G$4:$I$17,2,0)&gt;D!$H$10),"",LOOKUP(D!$H$10,D!$H$4:$H$17,D!$G$4:$G$17))</f>
        <v>#N/A</v>
      </c>
      <c r="Z26" s="258" t="e">
        <f>IF(OR(AND(VLOOKUP(S20,D!$G$4:$I$17,2,0)=D!$H$10,T20=VLOOKUP(S20,D!$G$4:$I$17,3,0)),VLOOKUP(S20,D!$G$4:$I$17,2,0)&gt;D!$H$10),"",LOOKUP(D!$H$10,D!$H$4:$H$17,D!$G$4:$G$17))</f>
        <v>#N/A</v>
      </c>
      <c r="AN26" s="273"/>
      <c r="AO26" s="273"/>
      <c r="AP26" s="273"/>
      <c r="AR26" s="273"/>
      <c r="AS26" s="273"/>
      <c r="AT26" s="273"/>
      <c r="AV26" s="273"/>
      <c r="AW26" s="273"/>
      <c r="AX26" s="273"/>
      <c r="AZ26" s="273"/>
      <c r="BA26" s="273"/>
      <c r="BB26" s="273"/>
      <c r="BC26" s="266"/>
      <c r="BD26" s="266"/>
      <c r="BE26" s="266"/>
      <c r="BF26" s="266"/>
      <c r="BK26" s="1">
        <f t="shared" si="2"/>
        <v>20</v>
      </c>
      <c r="BM26" s="1" t="str">
        <f t="shared" si="3"/>
        <v xml:space="preserve"> </v>
      </c>
      <c r="BP26" s="1" t="str">
        <f>IF(DAY_SCH!A24="","",DAY_SCH!A24)</f>
        <v/>
      </c>
    </row>
    <row r="27" spans="1:77" ht="25.5">
      <c r="A27" s="9"/>
      <c r="B27" s="260"/>
      <c r="C27" s="281" t="s">
        <v>410</v>
      </c>
      <c r="D27" s="281"/>
      <c r="E27" s="262"/>
      <c r="F27" s="267" t="s">
        <v>411</v>
      </c>
      <c r="G27" s="268" t="s">
        <v>93</v>
      </c>
      <c r="H27" s="268"/>
      <c r="I27" s="264"/>
      <c r="J27" s="267" t="str">
        <f t="shared" si="4"/>
        <v>THU:</v>
      </c>
      <c r="K27" s="268" t="s">
        <v>93</v>
      </c>
      <c r="L27" s="268"/>
      <c r="M27" s="269"/>
      <c r="N27" s="267" t="s">
        <v>411</v>
      </c>
      <c r="O27" s="268" t="s">
        <v>93</v>
      </c>
      <c r="P27" s="268"/>
      <c r="Q27" s="269"/>
      <c r="R27" s="267" t="s">
        <v>412</v>
      </c>
      <c r="S27" s="270" t="s">
        <v>93</v>
      </c>
      <c r="T27" s="270"/>
      <c r="U27" s="243"/>
      <c r="W27" s="258" t="str">
        <f>IF(OR(AND(VLOOKUP(G20,D!$G$4:$I$17,2,0)=D!$H$11,H20=VLOOKUP(G20,D!$G$4:$I$17,3,0)),VLOOKUP(G20,D!$G$4:$I$17,2,0)&gt;D!$H$11),"",LOOKUP(D!$H$11,D!$H$4:$H$17,D!$G$4:$G$17))</f>
        <v>July</v>
      </c>
      <c r="X27" s="258" t="str">
        <f>IF(OR(AND(VLOOKUP(K20,D!$G$4:$I$17,2,0)=D!$H$11,L20=VLOOKUP(K20,D!$G$4:$I$17,3,0)),VLOOKUP(K20,D!$G$4:$I$17,2,0)&gt;D!$H$11),"",LOOKUP(D!$H$11,D!$H$4:$H$17,D!$G$4:$G$17))</f>
        <v>July</v>
      </c>
      <c r="Y27" s="258" t="e">
        <f>IF(OR(AND(VLOOKUP(O20,D!$G$4:$I$17,2,0)=D!$H$11,P20=VLOOKUP(O20,D!$G$4:$I$17,3,0)),VLOOKUP(O20,D!$G$4:$I$17,2,0)&gt;D!$H$11),"",LOOKUP(D!$H$11,D!$H$4:$H$17,D!$G$4:$G$17))</f>
        <v>#N/A</v>
      </c>
      <c r="Z27" s="258" t="e">
        <f>IF(OR(AND(VLOOKUP(S20,D!$G$4:$I$17,2,0)=D!$H$11,T20=VLOOKUP(S20,D!$G$4:$I$17,3,0)),VLOOKUP(S20,D!$G$4:$I$17,2,0)&gt;D!$H$11),"",LOOKUP(D!$H$11,D!$H$4:$H$17,D!$G$4:$G$17))</f>
        <v>#N/A</v>
      </c>
      <c r="AN27" s="273"/>
      <c r="AO27" s="273"/>
      <c r="AP27" s="273"/>
      <c r="AR27" s="273"/>
      <c r="AS27" s="273"/>
      <c r="AT27" s="273"/>
      <c r="AV27" s="273"/>
      <c r="AW27" s="273"/>
      <c r="AX27" s="273"/>
      <c r="AZ27" s="273"/>
      <c r="BA27" s="273"/>
      <c r="BB27" s="273"/>
      <c r="BC27" s="266"/>
      <c r="BD27" s="266"/>
      <c r="BE27" s="266"/>
      <c r="BF27" s="266"/>
      <c r="BK27" s="1">
        <f t="shared" si="2"/>
        <v>21</v>
      </c>
      <c r="BM27" s="1" t="str">
        <f t="shared" si="3"/>
        <v xml:space="preserve"> </v>
      </c>
      <c r="BP27" s="1" t="str">
        <f>IF(DAY_SCH!A25="","",DAY_SCH!A25)</f>
        <v/>
      </c>
    </row>
    <row r="28" spans="1:77">
      <c r="A28" s="9"/>
      <c r="B28" s="260"/>
      <c r="C28" s="281"/>
      <c r="D28" s="281"/>
      <c r="E28" s="262"/>
      <c r="F28" s="267" t="s">
        <v>414</v>
      </c>
      <c r="G28" s="268" t="s">
        <v>93</v>
      </c>
      <c r="H28" s="268"/>
      <c r="I28" s="264"/>
      <c r="J28" s="267" t="str">
        <f t="shared" si="4"/>
        <v>FRI:</v>
      </c>
      <c r="K28" s="268" t="s">
        <v>93</v>
      </c>
      <c r="L28" s="268"/>
      <c r="M28" s="269"/>
      <c r="N28" s="267" t="s">
        <v>414</v>
      </c>
      <c r="O28" s="268" t="s">
        <v>93</v>
      </c>
      <c r="P28" s="268"/>
      <c r="Q28" s="269"/>
      <c r="R28" s="267" t="s">
        <v>415</v>
      </c>
      <c r="S28" s="270" t="s">
        <v>93</v>
      </c>
      <c r="T28" s="270"/>
      <c r="U28" s="243"/>
      <c r="W28" s="258" t="str">
        <f>IF(OR(AND(VLOOKUP(G20,D!$G$4:$I$17,2,0)=D!$H$12,H20=VLOOKUP(G20,D!$G$4:$I$17,3,0)),VLOOKUP(G20,D!$G$4:$I$17,2,0)&gt;D!$H$12),"",LOOKUP(D!$H$12,D!$H$4:$H$17,D!$G$4:$G$17))</f>
        <v>August</v>
      </c>
      <c r="X28" s="258" t="str">
        <f>IF(OR(AND(VLOOKUP(K20,D!$G$4:$I$17,2,0)=D!$H$12,L20=VLOOKUP(K20,D!$G$4:$I$17,3,0)),VLOOKUP(K20,D!$G$4:$I$17,2,0)&gt;D!$H$12),"",LOOKUP(D!$H$12,D!$H$4:$H$17,D!$G$4:$G$17))</f>
        <v>August</v>
      </c>
      <c r="Y28" s="258" t="e">
        <f>IF(OR(AND(VLOOKUP(O20,D!$G$4:$I$17,2,0)=D!$H$12,P20=VLOOKUP(O20,D!$G$4:$I$17,3,0)),VLOOKUP(O20,D!$G$4:$I$17,2,0)&gt;D!$H$12),"",LOOKUP(D!$H$12,D!$H$4:$H$17,D!$G$4:$G$17))</f>
        <v>#N/A</v>
      </c>
      <c r="Z28" s="258" t="e">
        <f>IF(OR(AND(VLOOKUP(S20,D!$G$4:$I$17,2,0)=D!$H$12,T20=VLOOKUP(S20,D!$G$4:$I$17,3,0)),VLOOKUP(S20,D!$G$4:$I$17,2,0)&gt;D!$H$12),"",LOOKUP(D!$H$12,D!$H$4:$H$17,D!$G$4:$G$17))</f>
        <v>#N/A</v>
      </c>
      <c r="AN28" s="273"/>
      <c r="AO28" s="273"/>
      <c r="AP28" s="273"/>
      <c r="AR28" s="273"/>
      <c r="AS28" s="273"/>
      <c r="AT28" s="273"/>
      <c r="AV28" s="273"/>
      <c r="AW28" s="273"/>
      <c r="AX28" s="273"/>
      <c r="AZ28" s="273"/>
      <c r="BA28" s="273"/>
      <c r="BB28" s="273"/>
      <c r="BC28" s="266"/>
      <c r="BD28" s="266"/>
      <c r="BE28" s="266"/>
      <c r="BF28" s="266"/>
      <c r="BK28" s="1">
        <f t="shared" si="2"/>
        <v>22</v>
      </c>
      <c r="BM28" s="1" t="str">
        <f t="shared" si="3"/>
        <v xml:space="preserve"> </v>
      </c>
      <c r="BP28" s="1" t="str">
        <f>IF(DAY_SCH!A26="","",DAY_SCH!A26)</f>
        <v/>
      </c>
    </row>
    <row r="29" spans="1:77">
      <c r="A29" s="9"/>
      <c r="B29" s="260"/>
      <c r="C29" s="76" t="e">
        <f>IF(AND(C25="Other",OR(D29=" ",D29="")),"Select Type →",IF(AND(NOT(C25="Other"),AND(NOT(D29=" "),NOT(D29=""))),"Deselect Type→",VLOOKUP(C25,$BL$6:$BM$19,2,0)))</f>
        <v>#N/A</v>
      </c>
      <c r="D29" s="280" t="s">
        <v>93</v>
      </c>
      <c r="E29" s="280"/>
      <c r="F29" s="267" t="s">
        <v>418</v>
      </c>
      <c r="G29" s="268" t="s">
        <v>93</v>
      </c>
      <c r="H29" s="268"/>
      <c r="I29" s="264"/>
      <c r="J29" s="267" t="str">
        <f t="shared" si="4"/>
        <v>SAT:</v>
      </c>
      <c r="K29" s="268" t="s">
        <v>93</v>
      </c>
      <c r="L29" s="268"/>
      <c r="M29" s="269"/>
      <c r="N29" s="267" t="s">
        <v>418</v>
      </c>
      <c r="O29" s="268" t="s">
        <v>93</v>
      </c>
      <c r="P29" s="268"/>
      <c r="Q29" s="269"/>
      <c r="R29" s="267" t="s">
        <v>419</v>
      </c>
      <c r="S29" s="270" t="s">
        <v>93</v>
      </c>
      <c r="T29" s="270"/>
      <c r="U29" s="243"/>
      <c r="W29" s="258" t="str">
        <f>IF(OR(AND(VLOOKUP(G20,D!$G$4:$I$17,2,0)=D!$H$13,H20=VLOOKUP(G20,D!$G$4:$I$17,3,0)),VLOOKUP(G20,D!$G$4:$I$17,2,0)&gt;D!$H$13),"",LOOKUP(D!$H$13,D!$H$4:$H$17,D!$G$4:$G$17))</f>
        <v>September</v>
      </c>
      <c r="X29" s="258" t="str">
        <f>IF(OR(AND(VLOOKUP(K20,D!$G$4:$I$17,2,0)=D!$H$13,L20=VLOOKUP(K20,D!$G$4:$I$17,3,0)),VLOOKUP(K20,D!$G$4:$I$17,2,0)&gt;D!$H$13),"",LOOKUP(D!$H$13,D!$H$4:$H$17,D!$G$4:$G$17))</f>
        <v>September</v>
      </c>
      <c r="Y29" s="258" t="e">
        <f>IF(OR(AND(VLOOKUP(O20,D!$G$4:$I$17,2,0)=D!$H$13,P20=VLOOKUP(O20,D!$G$4:$I$17,3,0)),VLOOKUP(O20,D!$G$4:$I$17,2,0)&gt;D!$H$13),"",LOOKUP(D!$H$13,D!$H$4:$H$17,D!$G$4:$G$17))</f>
        <v>#N/A</v>
      </c>
      <c r="Z29" s="258" t="e">
        <f>IF(OR(AND(VLOOKUP(S20,D!$G$4:$I$17,2,0)=D!$H$13,T20=VLOOKUP(S20,D!$G$4:$I$17,3,0)),VLOOKUP(S20,D!$G$4:$I$17,2,0)&gt;D!$H$13),"",LOOKUP(D!$H$13,D!$H$4:$H$17,D!$G$4:$G$17))</f>
        <v>#N/A</v>
      </c>
      <c r="AN29" s="273"/>
      <c r="AO29" s="273"/>
      <c r="AP29" s="273"/>
      <c r="AR29" s="273"/>
      <c r="AS29" s="273"/>
      <c r="AT29" s="273"/>
      <c r="AV29" s="273"/>
      <c r="AW29" s="273"/>
      <c r="AX29" s="273"/>
      <c r="AZ29" s="273"/>
      <c r="BA29" s="273"/>
      <c r="BB29" s="273"/>
      <c r="BC29" s="266"/>
      <c r="BD29" s="266"/>
      <c r="BE29" s="266"/>
      <c r="BF29" s="266"/>
      <c r="BK29" s="1">
        <f t="shared" si="2"/>
        <v>23</v>
      </c>
      <c r="BM29" s="1" t="str">
        <f t="shared" si="3"/>
        <v xml:space="preserve"> </v>
      </c>
      <c r="BP29" s="1" t="str">
        <f>IF(DAY_SCH!A27="","",DAY_SCH!A27)</f>
        <v/>
      </c>
    </row>
    <row r="30" spans="1:77">
      <c r="A30" s="9"/>
      <c r="B30" s="260"/>
      <c r="C30" s="76"/>
      <c r="D30" s="280"/>
      <c r="E30" s="280"/>
      <c r="F30" s="267" t="s">
        <v>421</v>
      </c>
      <c r="G30" s="268" t="s">
        <v>93</v>
      </c>
      <c r="H30" s="268"/>
      <c r="I30" s="264"/>
      <c r="J30" s="267" t="str">
        <f t="shared" si="4"/>
        <v>HOL:</v>
      </c>
      <c r="K30" s="268" t="s">
        <v>93</v>
      </c>
      <c r="L30" s="268"/>
      <c r="M30" s="269"/>
      <c r="N30" s="267" t="s">
        <v>421</v>
      </c>
      <c r="O30" s="268" t="s">
        <v>93</v>
      </c>
      <c r="P30" s="268"/>
      <c r="Q30" s="269"/>
      <c r="R30" s="267" t="s">
        <v>391</v>
      </c>
      <c r="S30" s="270" t="s">
        <v>93</v>
      </c>
      <c r="T30" s="270"/>
      <c r="U30" s="243" t="e">
        <f>VLOOKUP(C25,$BL$6:$BM$19,2,0)</f>
        <v>#N/A</v>
      </c>
      <c r="W30" s="258" t="str">
        <f>IF(OR(AND(VLOOKUP(G20,D!$G$4:$I$17,2,0)=D!$H$14,H20=VLOOKUP(G20,D!$G$4:$I$17,3,0)),VLOOKUP(G20,D!$G$4:$I$17,2,0)&gt;D!$H$14),"",LOOKUP(D!$H$14,D!$H$4:$H$17,D!$G$4:$G$17))</f>
        <v>October</v>
      </c>
      <c r="X30" s="258" t="str">
        <f>IF(OR(AND(VLOOKUP(K20,D!$G$4:$I$17,2,0)=D!$H$14,L20=VLOOKUP(K20,D!$G$4:$I$17,3,0)),VLOOKUP(K20,D!$G$4:$I$17,2,0)&gt;D!$H$14),"",LOOKUP(D!$H$14,D!$H$4:$H$17,D!$G$4:$G$17))</f>
        <v>October</v>
      </c>
      <c r="Y30" s="258" t="e">
        <f>IF(OR(AND(VLOOKUP(O20,D!$G$4:$I$17,2,0)=D!$H$14,P20=VLOOKUP(O20,D!$G$4:$I$17,3,0)),VLOOKUP(O20,D!$G$4:$I$17,2,0)&gt;D!$H$14),"",LOOKUP(D!$H$14,D!$H$4:$H$17,D!$G$4:$G$17))</f>
        <v>#N/A</v>
      </c>
      <c r="Z30" s="258" t="e">
        <f>IF(OR(AND(VLOOKUP(S20,D!$G$4:$I$17,2,0)=D!$H$14,T20=VLOOKUP(S20,D!$G$4:$I$17,3,0)),VLOOKUP(S20,D!$G$4:$I$17,2,0)&gt;D!$H$14),"",LOOKUP(D!$H$14,D!$H$4:$H$17,D!$G$4:$G$17))</f>
        <v>#N/A</v>
      </c>
      <c r="AN30" s="273"/>
      <c r="AO30" s="273"/>
      <c r="AP30" s="273"/>
      <c r="AR30" s="273"/>
      <c r="AS30" s="273"/>
      <c r="AT30" s="273"/>
      <c r="AV30" s="273"/>
      <c r="AW30" s="273"/>
      <c r="AX30" s="273"/>
      <c r="AZ30" s="273"/>
      <c r="BA30" s="273"/>
      <c r="BB30" s="273"/>
      <c r="BK30" s="1">
        <f t="shared" si="2"/>
        <v>24</v>
      </c>
      <c r="BM30" s="1" t="str">
        <f t="shared" si="3"/>
        <v xml:space="preserve"> </v>
      </c>
      <c r="BP30" s="1" t="str">
        <f>IF(DAY_SCH!A28="","",DAY_SCH!A28)</f>
        <v/>
      </c>
    </row>
    <row r="31" spans="1:77">
      <c r="A31" s="9"/>
      <c r="B31" s="260"/>
      <c r="C31" s="261" t="str">
        <f>IF(ISNA(VLOOKUP(C29,D!$C$4:$C$103,1,0)),"",IF(VLOOKUP(C29,D!$C$4:$C$203,1,0)="","","Schedules and Day Schedules can't have same name!"))</f>
        <v/>
      </c>
      <c r="D31" s="261"/>
      <c r="E31" s="261"/>
      <c r="F31" s="267" t="s">
        <v>424</v>
      </c>
      <c r="G31" s="268" t="s">
        <v>93</v>
      </c>
      <c r="H31" s="268"/>
      <c r="I31" s="264"/>
      <c r="J31" s="267" t="str">
        <f t="shared" si="4"/>
        <v>HDD:</v>
      </c>
      <c r="K31" s="268" t="s">
        <v>93</v>
      </c>
      <c r="L31" s="268"/>
      <c r="M31" s="269"/>
      <c r="N31" s="267" t="s">
        <v>424</v>
      </c>
      <c r="O31" s="268" t="s">
        <v>93</v>
      </c>
      <c r="P31" s="268"/>
      <c r="Q31" s="269"/>
      <c r="R31" s="267" t="s">
        <v>426</v>
      </c>
      <c r="S31" s="270" t="s">
        <v>93</v>
      </c>
      <c r="T31" s="270"/>
      <c r="U31" s="243"/>
      <c r="W31" s="258" t="str">
        <f>IF(OR(AND(VLOOKUP(G20,D!$G$4:$I$17,2,0)=D!$H$15,H20=VLOOKUP(G20,D!$G$4:$I$17,3,0)),VLOOKUP(G20,D!$G$4:$I$17,2,0)&gt;D!$H$15),"",LOOKUP(D!$H$15,D!$H$4:$H$17,D!$G$4:$G$17))</f>
        <v>November</v>
      </c>
      <c r="X31" s="258" t="str">
        <f>IF(OR(AND(VLOOKUP(K20,D!$G$4:$I$17,2,0)=D!$H$15,L20=VLOOKUP(K20,D!$G$4:$I$17,3,0)),VLOOKUP(K20,D!$G$4:$I$17,2,0)&gt;D!$H$15),"",LOOKUP(D!$H$15,D!$H$4:$H$17,D!$G$4:$G$17))</f>
        <v>November</v>
      </c>
      <c r="Y31" s="258" t="e">
        <f>IF(OR(AND(VLOOKUP(O20,D!$G$4:$I$17,2,0)=D!$H$15,P20=VLOOKUP(O20,D!$G$4:$I$17,3,0)),VLOOKUP(O20,D!$G$4:$I$17,2,0)&gt;D!$H$15),"",LOOKUP(D!$H$15,D!$H$4:$H$17,D!$G$4:$G$17))</f>
        <v>#N/A</v>
      </c>
      <c r="Z31" s="258" t="e">
        <f>IF(OR(AND(VLOOKUP(S20,D!$G$4:$I$17,2,0)=D!$H$15,T20=VLOOKUP(S20,D!$G$4:$I$17,3,0)),VLOOKUP(S20,D!$G$4:$I$17,2,0)&gt;D!$H$15),"",LOOKUP(D!$H$15,D!$H$4:$H$17,D!$G$4:$G$17))</f>
        <v>#N/A</v>
      </c>
      <c r="BK31" s="1">
        <f t="shared" si="2"/>
        <v>25</v>
      </c>
      <c r="BM31" s="1" t="str">
        <f t="shared" si="3"/>
        <v xml:space="preserve"> </v>
      </c>
      <c r="BP31" s="1" t="str">
        <f>IF(DAY_SCH!A29="","",DAY_SCH!A29)</f>
        <v/>
      </c>
    </row>
    <row r="32" spans="1:77">
      <c r="A32" s="9"/>
      <c r="B32" s="260"/>
      <c r="C32" s="261"/>
      <c r="D32" s="261"/>
      <c r="E32" s="261"/>
      <c r="F32" s="267" t="s">
        <v>429</v>
      </c>
      <c r="G32" s="268" t="s">
        <v>93</v>
      </c>
      <c r="H32" s="268"/>
      <c r="I32" s="269"/>
      <c r="J32" s="267" t="str">
        <f t="shared" si="4"/>
        <v>CDD:</v>
      </c>
      <c r="K32" s="268" t="s">
        <v>93</v>
      </c>
      <c r="L32" s="268"/>
      <c r="M32" s="269"/>
      <c r="N32" s="267" t="s">
        <v>429</v>
      </c>
      <c r="O32" s="268" t="s">
        <v>93</v>
      </c>
      <c r="P32" s="268"/>
      <c r="Q32" s="269"/>
      <c r="R32" s="267" t="s">
        <v>431</v>
      </c>
      <c r="S32" s="270" t="s">
        <v>93</v>
      </c>
      <c r="T32" s="270"/>
      <c r="U32" s="243"/>
      <c r="W32" s="258" t="str">
        <f>IF(OR(AND(VLOOKUP(G20,D!$G$4:$I$17,2,0)=D!$H$16,H20=VLOOKUP(G20,D!$G$4:$I$17,3,0)),VLOOKUP(G20,D!$G$4:$I$17,2,0)&gt;D!$H$16),"",LOOKUP(D!$H$16,D!$H$4:$H$17,D!$G$4:$G$17))</f>
        <v>December</v>
      </c>
      <c r="X32" s="258" t="str">
        <f>IF(OR(AND(VLOOKUP(K20,D!$G$4:$I$17,2,0)=D!$H$16,L20=VLOOKUP(K20,D!$G$4:$I$17,3,0)),VLOOKUP(K20,D!$G$4:$I$17,2,0)&gt;D!$H$16),"",LOOKUP(D!$H$16,D!$H$4:$H$17,D!$G$4:$G$17))</f>
        <v>December</v>
      </c>
      <c r="Y32" s="258" t="e">
        <f>IF(OR(AND(VLOOKUP(O20,D!$G$4:$I$17,2,0)=D!$H$16,P20=VLOOKUP(O20,D!$G$4:$I$17,3,0)),VLOOKUP(O20,D!$G$4:$I$17,2,0)&gt;D!$H$16),"",LOOKUP(D!$H$16,D!$H$4:$H$17,D!$G$4:$G$17))</f>
        <v>#N/A</v>
      </c>
      <c r="Z32" s="258" t="e">
        <f>IF(OR(AND(VLOOKUP(S20,D!$G$4:$I$17,2,0)=D!$H$16,T20=VLOOKUP(S20,D!$G$4:$I$17,3,0)),VLOOKUP(S20,D!$G$4:$I$17,2,0)&gt;D!$H$16),"",LOOKUP(D!$H$16,D!$H$4:$H$17,D!$G$4:$G$17))</f>
        <v>#N/A</v>
      </c>
      <c r="BK32" s="1">
        <f t="shared" si="2"/>
        <v>26</v>
      </c>
      <c r="BM32" s="1" t="str">
        <f t="shared" si="3"/>
        <v xml:space="preserve"> </v>
      </c>
      <c r="BP32" s="1" t="str">
        <f>IF(DAY_SCH!A30="","",DAY_SCH!A30)</f>
        <v/>
      </c>
    </row>
    <row r="33" spans="1:68">
      <c r="A33" s="9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43"/>
      <c r="BK33" s="1">
        <f t="shared" si="2"/>
        <v>27</v>
      </c>
      <c r="BM33" s="1" t="str">
        <f t="shared" si="3"/>
        <v xml:space="preserve"> </v>
      </c>
      <c r="BP33" s="1" t="str">
        <f>IF(DAY_SCH!A31="","",DAY_SCH!A31)</f>
        <v/>
      </c>
    </row>
    <row r="34" spans="1:68">
      <c r="A34" s="9">
        <f>IF(C20="",A20+1,IF(OR(AND(G21="December",H21=31),AND(K21="December",L21=31),AND(O21="December",P21=31),AND(S21="December",T21=31)),A20+1,A20))</f>
        <v>3</v>
      </c>
      <c r="B34" s="277" t="s">
        <v>376</v>
      </c>
      <c r="C34" s="76"/>
      <c r="D34" s="76"/>
      <c r="E34" s="76"/>
      <c r="F34" s="249" t="s">
        <v>378</v>
      </c>
      <c r="G34" s="250" t="str">
        <f>IF(A20=A34,IF(VLOOKUP(S21,D!$G$5:$I$16,3,0)=T21,LOOKUP(VLOOKUP(S21,D!$G$4:$H$16,2,0)+1,D!$H$4:$H$16,D!$G$4:$G$16),S21),"January")</f>
        <v>January</v>
      </c>
      <c r="H34" s="251">
        <f>IF(A34=A20,IF(G34=" "," ",IF(G34=S21,T21+1,1)),1)</f>
        <v>1</v>
      </c>
      <c r="I34" s="251"/>
      <c r="J34" s="249" t="s">
        <v>378</v>
      </c>
      <c r="K34" s="252" t="str">
        <f>IF(AND(G35="December",H35=31)," ",IF(VLOOKUP(G35,D!$G$5:$I$16,3,0)=H35,LOOKUP(VLOOKUP(G35,D!$G$4:$H$16,2,0)+1,D!$H$4:$H$16,D!$G$4:$G$16),G35))</f>
        <v xml:space="preserve"> </v>
      </c>
      <c r="L34" s="251" t="str">
        <f>IF(K34=" "," ",IF(K34=G35,H35+1,1))</f>
        <v xml:space="preserve"> </v>
      </c>
      <c r="M34" s="251"/>
      <c r="N34" s="249" t="s">
        <v>378</v>
      </c>
      <c r="O34" s="250" t="e">
        <f>IF(OR(K35=" ",AND(K35="December",L35=31))," ",IF(VLOOKUP(K35,D!$G$5:$I$16,3,0)=L35,LOOKUP(VLOOKUP(K35,D!$G$4:$H$16,2,0)+1,D!$H$4:$H$16,D!$G$4:$G$16),K35))</f>
        <v>#N/A</v>
      </c>
      <c r="P34" s="251" t="e">
        <f>IF(O34=" "," ",IF(O34=K35,L35+1,1))</f>
        <v>#N/A</v>
      </c>
      <c r="Q34" s="251"/>
      <c r="R34" s="249" t="s">
        <v>378</v>
      </c>
      <c r="S34" s="250" t="e">
        <f>IF(OR(O35=" ",AND(O35="December",P35=31))," ",IF(VLOOKUP(O35,D!$G$5:$I$16,3,0)=P35,LOOKUP(VLOOKUP(O35,D!$G$4:$H$16,2,0)+1,D!$H$4:$H$16,D!$G$4:$G$16),O35))</f>
        <v>#N/A</v>
      </c>
      <c r="T34" s="251" t="e">
        <f>IF(S34=" "," ",IF(S34=O35,P35+1,1))</f>
        <v>#N/A</v>
      </c>
      <c r="U34" s="243"/>
      <c r="W34" s="1" t="str">
        <f>" "</f>
        <v xml:space="preserve"> </v>
      </c>
      <c r="X34" s="1" t="str">
        <f>" "</f>
        <v xml:space="preserve"> </v>
      </c>
      <c r="Y34" s="1" t="str">
        <f>" "</f>
        <v xml:space="preserve"> </v>
      </c>
      <c r="Z34" s="1" t="str">
        <f>" "</f>
        <v xml:space="preserve"> </v>
      </c>
      <c r="BK34" s="1">
        <f t="shared" si="2"/>
        <v>28</v>
      </c>
      <c r="BM34" s="1" t="str">
        <f t="shared" si="3"/>
        <v xml:space="preserve"> </v>
      </c>
      <c r="BP34" s="1" t="str">
        <f>IF(DAY_SCH!A32="","",DAY_SCH!A32)</f>
        <v/>
      </c>
    </row>
    <row r="35" spans="1:68" ht="28.5">
      <c r="A35" s="9"/>
      <c r="B35" s="278"/>
      <c r="C35" s="76"/>
      <c r="D35" s="76"/>
      <c r="E35" s="76"/>
      <c r="F35" s="255" t="s">
        <v>380</v>
      </c>
      <c r="G35" s="256" t="s">
        <v>384</v>
      </c>
      <c r="H35" s="257">
        <v>31</v>
      </c>
      <c r="I35" s="257"/>
      <c r="J35" s="255" t="s">
        <v>380</v>
      </c>
      <c r="K35" s="256" t="s">
        <v>93</v>
      </c>
      <c r="L35" s="257" t="s">
        <v>93</v>
      </c>
      <c r="M35" s="257"/>
      <c r="N35" s="255" t="s">
        <v>380</v>
      </c>
      <c r="O35" s="256" t="s">
        <v>93</v>
      </c>
      <c r="P35" s="257"/>
      <c r="Q35" s="257"/>
      <c r="R35" s="255" t="s">
        <v>380</v>
      </c>
      <c r="S35" s="256" t="s">
        <v>93</v>
      </c>
      <c r="T35" s="257"/>
      <c r="U35" s="243"/>
      <c r="W35" s="258" t="str">
        <f>IF(OR(AND(VLOOKUP(G34,D!$G$4:$I$17,2,0)=D!$H$5,H34=VLOOKUP(G34,D!$G$4:$I$17,3,0)),VLOOKUP(G34,D!$G$4:$I$17,2,0)&gt;D!$H$5),"",LOOKUP(D!$H$5,D!$H$4:$H$17,D!$G$4:$G$17))</f>
        <v>January</v>
      </c>
      <c r="X35" s="258" t="str">
        <f>IF(OR(AND(VLOOKUP(K34,D!$G$4:$I$17,2,0)=D!$H$5,L34=VLOOKUP(K34,D!$G$4:$I$17,3,0)),VLOOKUP(K34,D!$G$4:$I$17,2,0)&gt;D!$H$5),"",LOOKUP(D!$H$5,D!$H$4:$H$17,D!$G$4:$G$17))</f>
        <v>January</v>
      </c>
      <c r="Y35" s="258" t="e">
        <f>IF(OR(AND(VLOOKUP(O34,D!$G$4:$I$17,2,0)=D!$H$5,P34=VLOOKUP(O34,D!$G$4:$I$17,3,0)),VLOOKUP(O34,D!$G$4:$I$17,2,0)&gt;D!$H$5),"",LOOKUP(D!$H$5,D!$H$4:$H$17,D!$G$4:$G$17))</f>
        <v>#N/A</v>
      </c>
      <c r="Z35" s="258" t="e">
        <f>IF(OR(AND(VLOOKUP(S34,D!$G$4:$I$17,2,0)=D!$H$5,T34=VLOOKUP(S34,D!$G$4:$I$17,3,0)),VLOOKUP(S34,D!$G$4:$I$17,2,0)&gt;D!$H$5),"",LOOKUP(D!$H$5,D!$H$4:$H$17,D!$G$4:$G$17))</f>
        <v>#N/A</v>
      </c>
      <c r="AA35" s="1" t="str">
        <f>" "</f>
        <v xml:space="preserve"> </v>
      </c>
      <c r="AB35" s="253">
        <f>IF(AND(NOT($G34=$G35),BM$3&lt;=VLOOKUP($G35,D!$G$5:$I$16,3,0)),BM$3,IF(AND($G34=$G35,$H34&lt;VLOOKUP($G35,D!$G$5:$I$16,3,0)),$H34+1,""))</f>
        <v>1</v>
      </c>
      <c r="AC35" s="253">
        <f>IF(AND(NOT($G34=$G35),BN$3&lt;=VLOOKUP($G35,D!$G$5:$I$16,3,0)),BN$3,IF(AND($G34=$G35,AB35&lt;VLOOKUP($G35,D!$G$5:$I$16,3,0),$H34&lt;AB35),AB35+1,""))</f>
        <v>2</v>
      </c>
      <c r="AD35" s="253">
        <f>IF(AND(NOT($G34=$G35),BO$3&lt;=VLOOKUP($G35,D!$G$5:$I$16,3,0)),BO$3,IF(AND($G34=$G35,AC35&lt;VLOOKUP($G35,D!$G$5:$I$16,3,0),$H34&lt;AC35),AC35+1,""))</f>
        <v>3</v>
      </c>
      <c r="AE35" s="253">
        <f>IF(AND(NOT($G34=$G35),BP$3&lt;=VLOOKUP($G35,D!$G$5:$I$16,3,0)),BP$3,IF(AND($G34=$G35,AD35&lt;VLOOKUP($G35,D!$G$5:$I$16,3,0),$H34&lt;AD35),AD35+1,""))</f>
        <v>4</v>
      </c>
      <c r="AF35" s="253">
        <f>IF(AND(NOT($G34=$G35),BQ$3&lt;=VLOOKUP($G35,D!$G$5:$I$16,3,0)),BQ$3,IF(AND($G34=$G35,AE35&lt;VLOOKUP($G35,D!$G$5:$I$16,3,0),$H34&lt;AE35),AE35+1,""))</f>
        <v>5</v>
      </c>
      <c r="AG35" s="253">
        <f>IF(AND(NOT($G34=$G35),BR$3&lt;=VLOOKUP($G35,D!$G$5:$I$16,3,0)),BR$3,IF(AND($G34=$G35,AF35&lt;VLOOKUP($G35,D!$G$5:$I$16,3,0),$H34&lt;AF35),AF35+1,""))</f>
        <v>6</v>
      </c>
      <c r="AH35" s="253">
        <f>IF(AND(NOT($G34=$G35),BS$3&lt;=VLOOKUP($G35,D!$G$5:$I$16,3,0)),BS$3,IF(AND($G34=$G35,AG35&lt;VLOOKUP($G35,D!$G$5:$I$16,3,0),$H34&lt;AG35),AG35+1,""))</f>
        <v>7</v>
      </c>
      <c r="AI35" s="253">
        <f>IF(AND(NOT($G34=$G35),BT$3&lt;=VLOOKUP($G35,D!$G$5:$I$16,3,0)),BT$3,IF(AND($G34=$G35,AH35&lt;VLOOKUP($G35,D!$G$5:$I$16,3,0),$H34&lt;AH35),AH35+1,""))</f>
        <v>8</v>
      </c>
      <c r="AJ35" s="253">
        <f>IF(AND(NOT($G34=$G35),BU$3&lt;=VLOOKUP($G35,D!$G$5:$I$16,3,0)),BU$3,IF(AND($G34=$G35,AI35&lt;VLOOKUP($G35,D!$G$5:$I$16,3,0),$H34&lt;AI35),AI35+1,""))</f>
        <v>9</v>
      </c>
      <c r="AK35" s="253">
        <f>IF(AND(NOT($G34=$G35),BV$3&lt;=VLOOKUP($G35,D!$G$5:$I$16,3,0)),BV$3,IF(AND($G34=$G35,AJ35&lt;VLOOKUP($G35,D!$G$5:$I$16,3,0),$H34&lt;AJ35),AJ35+1,""))</f>
        <v>10</v>
      </c>
      <c r="AL35" s="253">
        <f>IF(AND(NOT($G34=$G35),BW$3&lt;=VLOOKUP($G35,D!$G$5:$I$16,3,0)),BW$3,IF(AND($G34=$G35,AK35&lt;VLOOKUP($G35,D!$G$5:$I$16,3,0),$H34&lt;AK35),AK35+1,""))</f>
        <v>11</v>
      </c>
      <c r="AM35" s="253">
        <f>IF(AND(NOT($G34=$G35),BX$3&lt;=VLOOKUP($G35,D!$G$5:$I$16,3,0)),BX$3,IF(AND($G34=$G35,AL35&lt;VLOOKUP($G35,D!$G$5:$I$16,3,0),$H34&lt;AL35),AL35+1,""))</f>
        <v>12</v>
      </c>
      <c r="AN35" s="253">
        <f>IF(AND(NOT($G34=$G35),BY$3&lt;=VLOOKUP($G35,D!$G$5:$I$16,3,0)),BY$3,IF(AND($G34=$G35,AM35&lt;VLOOKUP($G35,D!$G$5:$I$16,3,0),$H34&lt;AM35),AM35+1,""))</f>
        <v>13</v>
      </c>
      <c r="AO35" s="253">
        <f>IF(AND(NOT($G34=$G35),BZ$3&lt;=VLOOKUP($G35,D!$G$5:$I$16,3,0)),BZ$3,IF(AND($G34=$G35,AN35&lt;VLOOKUP($G35,D!$G$5:$I$16,3,0),$H34&lt;AN35),AN35+1,""))</f>
        <v>14</v>
      </c>
      <c r="AP35" s="253">
        <f>IF(AND(NOT($G34=$G35),CA$3&lt;=VLOOKUP($G35,D!$G$5:$I$16,3,0)),CA$3,IF(AND($G34=$G35,AO35&lt;VLOOKUP($G35,D!$G$5:$I$16,3,0),$H34&lt;AO35),AO35+1,""))</f>
        <v>15</v>
      </c>
      <c r="AQ35" s="253">
        <f>IF(AND(NOT($G34=$G35),CB$3&lt;=VLOOKUP($G35,D!$G$5:$I$16,3,0)),CB$3,IF(AND($G34=$G35,AP35&lt;VLOOKUP($G35,D!$G$5:$I$16,3,0),$H34&lt;AP35),AP35+1,""))</f>
        <v>16</v>
      </c>
      <c r="AR35" s="253">
        <f>IF(AND(NOT($G34=$G35),CC$3&lt;=VLOOKUP($G35,D!$G$5:$I$16,3,0)),CC$3,IF(AND($G34=$G35,AQ35&lt;VLOOKUP($G35,D!$G$5:$I$16,3,0),$H34&lt;AQ35),AQ35+1,""))</f>
        <v>17</v>
      </c>
      <c r="AS35" s="253">
        <f>IF(AND(NOT($G34=$G35),CD$3&lt;=VLOOKUP($G35,D!$G$5:$I$16,3,0)),CD$3,IF(AND($G34=$G35,AR35&lt;VLOOKUP($G35,D!$G$5:$I$16,3,0),$H34&lt;AR35),AR35+1,""))</f>
        <v>18</v>
      </c>
      <c r="AT35" s="253">
        <f>IF(AND(NOT($G34=$G35),CE$3&lt;=VLOOKUP($G35,D!$G$5:$I$16,3,0)),CE$3,IF(AND($G34=$G35,AS35&lt;VLOOKUP($G35,D!$G$5:$I$16,3,0),$H34&lt;AS35),AS35+1,""))</f>
        <v>19</v>
      </c>
      <c r="AU35" s="253">
        <f>IF(AND(NOT($G34=$G35),CF$3&lt;=VLOOKUP($G35,D!$G$5:$I$16,3,0)),CF$3,IF(AND($G34=$G35,AT35&lt;VLOOKUP($G35,D!$G$5:$I$16,3,0),$H34&lt;AT35),AT35+1,""))</f>
        <v>20</v>
      </c>
      <c r="AV35" s="253">
        <f>IF(AND(NOT($G34=$G35),CG$3&lt;=VLOOKUP($G35,D!$G$5:$I$16,3,0)),CG$3,IF(AND($G34=$G35,AU35&lt;VLOOKUP($G35,D!$G$5:$I$16,3,0),$H34&lt;AU35),AU35+1,""))</f>
        <v>21</v>
      </c>
      <c r="AW35" s="253">
        <f>IF(AND(NOT($G34=$G35),CH$3&lt;=VLOOKUP($G35,D!$G$5:$I$16,3,0)),CH$3,IF(AND($G34=$G35,AV35&lt;VLOOKUP($G35,D!$G$5:$I$16,3,0),$H34&lt;AV35),AV35+1,""))</f>
        <v>22</v>
      </c>
      <c r="AX35" s="253">
        <f>IF(AND(NOT($G34=$G35),CI$3&lt;=VLOOKUP($G35,D!$G$5:$I$16,3,0)),CI$3,IF(AND($G34=$G35,AW35&lt;VLOOKUP($G35,D!$G$5:$I$16,3,0),$H34&lt;AW35),AW35+1,""))</f>
        <v>23</v>
      </c>
      <c r="AY35" s="253">
        <f>IF(AND(NOT($G34=$G35),CJ$3&lt;=VLOOKUP($G35,D!$G$5:$I$16,3,0)),CJ$3,IF(AND($G34=$G35,AX35&lt;VLOOKUP($G35,D!$G$5:$I$16,3,0),$H34&lt;AX35),AX35+1,""))</f>
        <v>24</v>
      </c>
      <c r="AZ35" s="253">
        <f>IF(AND(NOT($G34=$G35),CK$3&lt;=VLOOKUP($G35,D!$G$5:$I$16,3,0)),CK$3,IF(AND($G34=$G35,AY35&lt;VLOOKUP($G35,D!$G$5:$I$16,3,0),$H34&lt;AY35),AY35+1,""))</f>
        <v>25</v>
      </c>
      <c r="BA35" s="253">
        <f>IF(AND(NOT($G34=$G35),CL$3&lt;=VLOOKUP($G35,D!$G$5:$I$16,3,0)),CL$3,IF(AND($G34=$G35,AZ35&lt;VLOOKUP($G35,D!$G$5:$I$16,3,0),$H34&lt;AZ35),AZ35+1,""))</f>
        <v>26</v>
      </c>
      <c r="BB35" s="253">
        <f>IF(AND(NOT($G34=$G35),CM$3&lt;=VLOOKUP($G35,D!$G$5:$I$16,3,0)),CM$3,IF(AND($G34=$G35,BA35&lt;VLOOKUP($G35,D!$G$5:$I$16,3,0),$H34&lt;BA35),BA35+1,""))</f>
        <v>27</v>
      </c>
      <c r="BC35" s="253">
        <f>IF(AND(NOT($G34=$G35),CN$3&lt;=VLOOKUP($G35,D!$G$5:$I$16,3,0)),CN$3,IF(AND($G34=$G35,BB35&lt;VLOOKUP($G35,D!$G$5:$I$16,3,0),$H34&lt;BB35),BB35+1,""))</f>
        <v>28</v>
      </c>
      <c r="BD35" s="253">
        <f>IF(AND(NOT($G34=$G35),CO$3&lt;=VLOOKUP($G35,D!$G$5:$I$16,3,0)),CO$3,IF(AND($G34=$G35,BC35&lt;VLOOKUP($G35,D!$G$5:$I$16,3,0),$H34&lt;BC35),BC35+1,""))</f>
        <v>29</v>
      </c>
      <c r="BE35" s="253">
        <f>IF(AND(NOT($G34=$G35),CP$3&lt;=VLOOKUP($G35,D!$G$5:$I$16,3,0)),CP$3,IF(AND($G34=$G35,BD35&lt;VLOOKUP($G35,D!$G$5:$I$16,3,0),$H34&lt;BD35),BD35+1,""))</f>
        <v>30</v>
      </c>
      <c r="BF35" s="253">
        <f>IF(AND(NOT($G34=$G35),CQ$3&lt;=VLOOKUP($G35,D!$G$5:$I$16,3,0)),CQ$3,IF(AND($G34=$G35,BE35&lt;VLOOKUP($G35,D!$G$5:$I$16,3,0),$H34&lt;BE35),BE35+1,""))</f>
        <v>31</v>
      </c>
      <c r="BK35" s="1">
        <f t="shared" si="2"/>
        <v>29</v>
      </c>
      <c r="BM35" s="1" t="str">
        <f t="shared" si="3"/>
        <v xml:space="preserve"> </v>
      </c>
      <c r="BP35" s="1" t="str">
        <f>IF(DAY_SCH!A33="","",DAY_SCH!A33)</f>
        <v/>
      </c>
    </row>
    <row r="36" spans="1:68">
      <c r="A36" s="9"/>
      <c r="B36" s="260"/>
      <c r="C36" s="261" t="str">
        <f>IF(ISNA(VLOOKUP(C34,$BP$6:$BP$206,1,0)),"",IF(VLOOKUP(C34,$BP$6:$BP$206,1,0)="","","Schedules and Day Schedules can't have same name!"))</f>
        <v/>
      </c>
      <c r="D36" s="261"/>
      <c r="E36" s="261"/>
      <c r="F36" s="262"/>
      <c r="G36" s="263" t="str">
        <f>IF(OR(H35&gt;VLOOKUP(G35,D!$G$4:$I$16,3,0),AND(G35=G34,H35&lt;=H34),VLOOKUP(G35,D!$G$4:$H$16,2,0)&lt;VLOOKUP(G34,D!$G$4:$H$16,2,0)),"Must correct date!","")</f>
        <v/>
      </c>
      <c r="H36" s="263"/>
      <c r="I36" s="264"/>
      <c r="J36" s="262"/>
      <c r="K36" s="263" t="e">
        <f>IF(AND(K35=" ",K34=" "),"",IF(OR(L35&gt;VLOOKUP(K35,D!$G$4:$I$16,3,0),AND(K35=K34,L35&lt;=L34),VLOOKUP(K35,D!$G$4:$H$16,2,0)&lt;VLOOKUP(K34,D!$G$4:$H$16,2,0)),"Must correct date!",""))</f>
        <v>#N/A</v>
      </c>
      <c r="L36" s="263"/>
      <c r="M36" s="264"/>
      <c r="N36" s="262"/>
      <c r="O36" s="263" t="e">
        <f>IF(AND(O35=" ",O34=" "),"",IF(OR(P35&gt;VLOOKUP(O35,D!$G$4:$I$16,3,0),AND(O35=O34,P35&lt;=P34),VLOOKUP(O35,D!$G$4:$H$16,2,0)&lt;VLOOKUP(O34,D!$G$4:$H$16,2,0)),"Must correct date!",""))</f>
        <v>#N/A</v>
      </c>
      <c r="P36" s="263"/>
      <c r="Q36" s="264"/>
      <c r="R36" s="262"/>
      <c r="S36" s="265" t="e">
        <f>IF(AND(S35=" ",S34=" "),"",IF(OR(T35&gt;VLOOKUP(S35,D!$G$4:$I$16,3,0),AND(S35=S34,T35&lt;=T34),VLOOKUP(S35,D!$G$4:$H$16,2,0)&lt;VLOOKUP(S34,D!$G$4:$H$16,2,0)),"Must correct date!",""))</f>
        <v>#N/A</v>
      </c>
      <c r="T36" s="265"/>
      <c r="U36" s="243"/>
      <c r="W36" s="258" t="str">
        <f>IF(OR(AND(VLOOKUP(G34,D!$G$4:$I$17,2,0)=D!$H$6,H34=VLOOKUP(G34,D!$G$4:$I$17,3,0)),VLOOKUP(G34,D!$G$4:$I$17,2,0)&gt;D!$H$6),"",LOOKUP(D!$H$6,D!$H$4:$H$17,D!$G$4:$G$17))</f>
        <v>February</v>
      </c>
      <c r="X36" s="258" t="str">
        <f>IF(OR(AND(VLOOKUP(K34,D!$G$4:$I$17,2,0)=D!$H$6,L34=VLOOKUP(K34,D!$G$4:$I$17,3,0)),VLOOKUP(K34,D!$G$4:$I$17,2,0)&gt;D!$H$6),"",LOOKUP(D!$H$6,D!$H$4:$H$17,D!$G$4:$G$17))</f>
        <v>February</v>
      </c>
      <c r="Y36" s="258" t="e">
        <f>IF(OR(AND(VLOOKUP(O34,D!$G$4:$I$17,2,0)=D!$H$6,P34=VLOOKUP(O34,D!$G$4:$I$17,3,0)),VLOOKUP(O34,D!$G$4:$I$17,2,0)&gt;D!$H$6),"",LOOKUP(D!$H$6,D!$H$4:$H$17,D!$G$4:$G$17))</f>
        <v>#N/A</v>
      </c>
      <c r="Z36" s="258" t="e">
        <f>IF(OR(AND(VLOOKUP(S34,D!$G$4:$I$17,2,0)=D!$H$6,T34=VLOOKUP(S34,D!$G$4:$I$17,3,0)),VLOOKUP(S34,D!$G$4:$I$17,2,0)&gt;D!$H$6),"",LOOKUP(D!$H$6,D!$H$4:$H$17,D!$G$4:$G$17))</f>
        <v>#N/A</v>
      </c>
      <c r="AA36" s="1" t="str">
        <f>" "</f>
        <v xml:space="preserve"> </v>
      </c>
      <c r="AB36" s="253" t="e">
        <f>IF(AND(NOT($K34=$K35),BM$3&lt;=VLOOKUP($K35,D!$G$5:$I$16,3,0)),BM$3,IF(AND($K34=$K35,$L34&lt;VLOOKUP($K35,D!$G$5:$I$16,3,0)),$L34+1,""))</f>
        <v>#N/A</v>
      </c>
      <c r="AC36" s="253" t="e">
        <f>IF(AND(NOT($K34=$K35),BN$3&lt;=VLOOKUP($K35,D!$G$5:$I$16,3,0)),BN$3,IF(AND($K34=$K35,AB36&lt;VLOOKUP($K35,D!$G$5:$I$16,3,0),$L34&lt;AB36),AB36+1,""))</f>
        <v>#N/A</v>
      </c>
      <c r="AD36" s="253" t="e">
        <f>IF(AND(NOT($K34=$K35),BO$3&lt;=VLOOKUP($K35,D!$G$5:$I$16,3,0)),BO$3,IF(AND($K34=$K35,AC36&lt;VLOOKUP($K35,D!$G$5:$I$16,3,0),$L34&lt;AC36),AC36+1,""))</f>
        <v>#N/A</v>
      </c>
      <c r="AE36" s="253" t="e">
        <f>IF(AND(NOT($K34=$K35),BP$3&lt;=VLOOKUP($K35,D!$G$5:$I$16,3,0)),BP$3,IF(AND($K34=$K35,AD36&lt;VLOOKUP($K35,D!$G$5:$I$16,3,0),$L34&lt;AD36),AD36+1,""))</f>
        <v>#N/A</v>
      </c>
      <c r="AF36" s="253" t="e">
        <f>IF(AND(NOT($K34=$K35),BQ$3&lt;=VLOOKUP($K35,D!$G$5:$I$16,3,0)),BQ$3,IF(AND($K34=$K35,AE36&lt;VLOOKUP($K35,D!$G$5:$I$16,3,0),$L34&lt;AE36),AE36+1,""))</f>
        <v>#N/A</v>
      </c>
      <c r="AG36" s="253" t="e">
        <f>IF(AND(NOT($K34=$K35),BR$3&lt;=VLOOKUP($K35,D!$G$5:$I$16,3,0)),BR$3,IF(AND($K34=$K35,AF36&lt;VLOOKUP($K35,D!$G$5:$I$16,3,0),$L34&lt;AF36),AF36+1,""))</f>
        <v>#N/A</v>
      </c>
      <c r="AH36" s="253" t="e">
        <f>IF(AND(NOT($K34=$K35),BS$3&lt;=VLOOKUP($K35,D!$G$5:$I$16,3,0)),BS$3,IF(AND($K34=$K35,AG36&lt;VLOOKUP($K35,D!$G$5:$I$16,3,0),$L34&lt;AG36),AG36+1,""))</f>
        <v>#N/A</v>
      </c>
      <c r="AI36" s="253" t="e">
        <f>IF(AND(NOT($K34=$K35),BT$3&lt;=VLOOKUP($K35,D!$G$5:$I$16,3,0)),BT$3,IF(AND($K34=$K35,AH36&lt;VLOOKUP($K35,D!$G$5:$I$16,3,0),$L34&lt;AH36),AH36+1,""))</f>
        <v>#N/A</v>
      </c>
      <c r="AJ36" s="253" t="e">
        <f>IF(AND(NOT($K34=$K35),BU$3&lt;=VLOOKUP($K35,D!$G$5:$I$16,3,0)),BU$3,IF(AND($K34=$K35,AI36&lt;VLOOKUP($K35,D!$G$5:$I$16,3,0),$L34&lt;AI36),AI36+1,""))</f>
        <v>#N/A</v>
      </c>
      <c r="AK36" s="253" t="e">
        <f>IF(AND(NOT($K34=$K35),BV$3&lt;=VLOOKUP($K35,D!$G$5:$I$16,3,0)),BV$3,IF(AND($K34=$K35,AJ36&lt;VLOOKUP($K35,D!$G$5:$I$16,3,0),$L34&lt;AJ36),AJ36+1,""))</f>
        <v>#N/A</v>
      </c>
      <c r="AL36" s="253" t="e">
        <f>IF(AND(NOT($K34=$K35),BW$3&lt;=VLOOKUP($K35,D!$G$5:$I$16,3,0)),BW$3,IF(AND($K34=$K35,AK36&lt;VLOOKUP($K35,D!$G$5:$I$16,3,0),$L34&lt;AK36),AK36+1,""))</f>
        <v>#N/A</v>
      </c>
      <c r="AM36" s="253" t="e">
        <f>IF(AND(NOT($K34=$K35),BX$3&lt;=VLOOKUP($K35,D!$G$5:$I$16,3,0)),BX$3,IF(AND($K34=$K35,AL36&lt;VLOOKUP($K35,D!$G$5:$I$16,3,0),$L34&lt;AL36),AL36+1,""))</f>
        <v>#N/A</v>
      </c>
      <c r="AN36" s="253" t="e">
        <f>IF(AND(NOT($K34=$K35),BY$3&lt;=VLOOKUP($K35,D!$G$5:$I$16,3,0)),BY$3,IF(AND($K34=$K35,AM36&lt;VLOOKUP($K35,D!$G$5:$I$16,3,0),$L34&lt;AM36),AM36+1,""))</f>
        <v>#N/A</v>
      </c>
      <c r="AO36" s="253" t="e">
        <f>IF(AND(NOT($K34=$K35),BZ$3&lt;=VLOOKUP($K35,D!$G$5:$I$16,3,0)),BZ$3,IF(AND($K34=$K35,AN36&lt;VLOOKUP($K35,D!$G$5:$I$16,3,0),$L34&lt;AN36),AN36+1,""))</f>
        <v>#N/A</v>
      </c>
      <c r="AP36" s="253" t="e">
        <f>IF(AND(NOT($K34=$K35),CA$3&lt;=VLOOKUP($K35,D!$G$5:$I$16,3,0)),CA$3,IF(AND($K34=$K35,AO36&lt;VLOOKUP($K35,D!$G$5:$I$16,3,0),$L34&lt;AO36),AO36+1,""))</f>
        <v>#N/A</v>
      </c>
      <c r="AQ36" s="253" t="e">
        <f>IF(AND(NOT($K34=$K35),CB$3&lt;=VLOOKUP($K35,D!$G$5:$I$16,3,0)),CB$3,IF(AND($K34=$K35,AP36&lt;VLOOKUP($K35,D!$G$5:$I$16,3,0),$L34&lt;AP36),AP36+1,""))</f>
        <v>#N/A</v>
      </c>
      <c r="AR36" s="253" t="e">
        <f>IF(AND(NOT($K34=$K35),CC$3&lt;=VLOOKUP($K35,D!$G$5:$I$16,3,0)),CC$3,IF(AND($K34=$K35,AQ36&lt;VLOOKUP($K35,D!$G$5:$I$16,3,0),$L34&lt;AQ36),AQ36+1,""))</f>
        <v>#N/A</v>
      </c>
      <c r="AS36" s="253" t="e">
        <f>IF(AND(NOT($K34=$K35),CD$3&lt;=VLOOKUP($K35,D!$G$5:$I$16,3,0)),CD$3,IF(AND($K34=$K35,AR36&lt;VLOOKUP($K35,D!$G$5:$I$16,3,0),$L34&lt;AR36),AR36+1,""))</f>
        <v>#N/A</v>
      </c>
      <c r="AT36" s="253" t="e">
        <f>IF(AND(NOT($K34=$K35),CE$3&lt;=VLOOKUP($K35,D!$G$5:$I$16,3,0)),CE$3,IF(AND($K34=$K35,AS36&lt;VLOOKUP($K35,D!$G$5:$I$16,3,0),$L34&lt;AS36),AS36+1,""))</f>
        <v>#N/A</v>
      </c>
      <c r="AU36" s="253" t="e">
        <f>IF(AND(NOT($K34=$K35),CF$3&lt;=VLOOKUP($K35,D!$G$5:$I$16,3,0)),CF$3,IF(AND($K34=$K35,AT36&lt;VLOOKUP($K35,D!$G$5:$I$16,3,0),$L34&lt;AT36),AT36+1,""))</f>
        <v>#N/A</v>
      </c>
      <c r="AV36" s="253" t="e">
        <f>IF(AND(NOT($K34=$K35),CG$3&lt;=VLOOKUP($K35,D!$G$5:$I$16,3,0)),CG$3,IF(AND($K34=$K35,AU36&lt;VLOOKUP($K35,D!$G$5:$I$16,3,0),$L34&lt;AU36),AU36+1,""))</f>
        <v>#N/A</v>
      </c>
      <c r="AW36" s="253" t="e">
        <f>IF(AND(NOT($K34=$K35),CH$3&lt;=VLOOKUP($K35,D!$G$5:$I$16,3,0)),CH$3,IF(AND($K34=$K35,AV36&lt;VLOOKUP($K35,D!$G$5:$I$16,3,0),$L34&lt;AV36),AV36+1,""))</f>
        <v>#N/A</v>
      </c>
      <c r="AX36" s="253" t="e">
        <f>IF(AND(NOT($K34=$K35),CI$3&lt;=VLOOKUP($K35,D!$G$5:$I$16,3,0)),CI$3,IF(AND($K34=$K35,AW36&lt;VLOOKUP($K35,D!$G$5:$I$16,3,0),$L34&lt;AW36),AW36+1,""))</f>
        <v>#N/A</v>
      </c>
      <c r="AY36" s="253" t="e">
        <f>IF(AND(NOT($K34=$K35),CJ$3&lt;=VLOOKUP($K35,D!$G$5:$I$16,3,0)),CJ$3,IF(AND($K34=$K35,AX36&lt;VLOOKUP($K35,D!$G$5:$I$16,3,0),$L34&lt;AX36),AX36+1,""))</f>
        <v>#N/A</v>
      </c>
      <c r="AZ36" s="253" t="e">
        <f>IF(AND(NOT($K34=$K35),CK$3&lt;=VLOOKUP($K35,D!$G$5:$I$16,3,0)),CK$3,IF(AND($K34=$K35,AY36&lt;VLOOKUP($K35,D!$G$5:$I$16,3,0),$L34&lt;AY36),AY36+1,""))</f>
        <v>#N/A</v>
      </c>
      <c r="BA36" s="253" t="e">
        <f>IF(AND(NOT($K34=$K35),CL$3&lt;=VLOOKUP($K35,D!$G$5:$I$16,3,0)),CL$3,IF(AND($K34=$K35,AZ36&lt;VLOOKUP($K35,D!$G$5:$I$16,3,0),$L34&lt;AZ36),AZ36+1,""))</f>
        <v>#N/A</v>
      </c>
      <c r="BB36" s="253" t="e">
        <f>IF(AND(NOT($K34=$K35),CM$3&lt;=VLOOKUP($K35,D!$G$5:$I$16,3,0)),CM$3,IF(AND($K34=$K35,BA36&lt;VLOOKUP($K35,D!$G$5:$I$16,3,0),$L34&lt;BA36),BA36+1,""))</f>
        <v>#N/A</v>
      </c>
      <c r="BC36" s="253" t="e">
        <f>IF(AND(NOT($K34=$K35),CN$3&lt;=VLOOKUP($K35,D!$G$5:$I$16,3,0)),CN$3,IF(AND($K34=$K35,BB36&lt;VLOOKUP($K35,D!$G$5:$I$16,3,0),$L34&lt;BB36),BB36+1,""))</f>
        <v>#N/A</v>
      </c>
      <c r="BD36" s="253" t="e">
        <f>IF(AND(NOT($K34=$K35),CO$3&lt;=VLOOKUP($K35,D!$G$5:$I$16,3,0)),CO$3,IF(AND($K34=$K35,BC36&lt;VLOOKUP($K35,D!$G$5:$I$16,3,0),$L34&lt;BC36),BC36+1,""))</f>
        <v>#N/A</v>
      </c>
      <c r="BE36" s="253" t="e">
        <f>IF(AND(NOT($K34=$K35),CP$3&lt;=VLOOKUP($K35,D!$G$5:$I$16,3,0)),CP$3,IF(AND($K34=$K35,BD36&lt;VLOOKUP($K35,D!$G$5:$I$16,3,0),$L34&lt;BD36),BD36+1,""))</f>
        <v>#N/A</v>
      </c>
      <c r="BF36" s="253" t="e">
        <f>IF(AND(NOT($K34=$K35),CQ$3&lt;=VLOOKUP($K35,D!$G$5:$I$16,3,0)),CQ$3,IF(AND($K34=$K35,BE36&lt;VLOOKUP($K35,D!$G$5:$I$16,3,0),$L34&lt;BE36),BE36+1,""))</f>
        <v>#N/A</v>
      </c>
      <c r="BK36" s="1">
        <f t="shared" si="2"/>
        <v>30</v>
      </c>
      <c r="BM36" s="1" t="str">
        <f t="shared" si="3"/>
        <v xml:space="preserve"> </v>
      </c>
      <c r="BP36" s="1" t="str">
        <f>IF(DAY_SCH!A34="","",DAY_SCH!A34)</f>
        <v/>
      </c>
    </row>
    <row r="37" spans="1:68">
      <c r="A37" s="9"/>
      <c r="B37" s="260"/>
      <c r="C37" s="261"/>
      <c r="D37" s="261"/>
      <c r="E37" s="261"/>
      <c r="F37" s="267" t="s">
        <v>389</v>
      </c>
      <c r="G37" s="268" t="s">
        <v>93</v>
      </c>
      <c r="H37" s="268"/>
      <c r="I37" s="269"/>
      <c r="J37" s="267" t="str">
        <f t="shared" ref="J37:J46" si="5">$F37</f>
        <v>SUN:</v>
      </c>
      <c r="K37" s="268" t="s">
        <v>93</v>
      </c>
      <c r="L37" s="268"/>
      <c r="M37" s="269"/>
      <c r="N37" s="267" t="s">
        <v>389</v>
      </c>
      <c r="O37" s="268" t="s">
        <v>93</v>
      </c>
      <c r="P37" s="268"/>
      <c r="Q37" s="269"/>
      <c r="R37" s="267" t="s">
        <v>391</v>
      </c>
      <c r="S37" s="270" t="s">
        <v>93</v>
      </c>
      <c r="T37" s="270"/>
      <c r="U37" s="243"/>
      <c r="W37" s="258" t="str">
        <f>IF(OR(AND(VLOOKUP(G34,D!$G$4:$I$17,2,0)=D!$H$7,H34=VLOOKUP(G34,D!$G$4:$I$17,3,0)),VLOOKUP(G34,D!$G$4:$I$17,2,0)&gt;D!$H$7),"",LOOKUP(D!$H$7,D!$H$4:$H$17,D!$G$4:$G$17))</f>
        <v>March</v>
      </c>
      <c r="X37" s="258" t="str">
        <f>IF(OR(AND(VLOOKUP(K34,D!$G$4:$I$17,2,0)=D!$H$7,L34=VLOOKUP(K34,D!$G$4:$I$17,3,0)),VLOOKUP(K34,D!$G$4:$I$17,2,0)&gt;D!$H$7),"",LOOKUP(D!$H$7,D!$H$4:$H$17,D!$G$4:$G$17))</f>
        <v>March</v>
      </c>
      <c r="Y37" s="258" t="e">
        <f>IF(OR(AND(VLOOKUP(O34,D!$G$4:$I$17,2,0)=D!$H$7,P34=VLOOKUP(O34,D!$G$4:$I$17,3,0)),VLOOKUP(O34,D!$G$4:$I$17,2,0)&gt;D!$H$7),"",LOOKUP(D!$H$7,D!$H$4:$H$17,D!$G$4:$G$17))</f>
        <v>#N/A</v>
      </c>
      <c r="Z37" s="258" t="e">
        <f>IF(OR(AND(VLOOKUP(S34,D!$G$4:$I$17,2,0)=D!$H$7,T34=VLOOKUP(S34,D!$G$4:$I$17,3,0)),VLOOKUP(S34,D!$G$4:$I$17,2,0)&gt;D!$H$7),"",LOOKUP(D!$H$7,D!$H$4:$H$17,D!$G$4:$G$17))</f>
        <v>#N/A</v>
      </c>
      <c r="AA37" s="1" t="str">
        <f>" "</f>
        <v xml:space="preserve"> </v>
      </c>
      <c r="AB37" s="253" t="e">
        <f>IF(AND(NOT($O34=$O35),BM$3&lt;=VLOOKUP($O35,D!$G$5:$I$16,3,0)),BM$3,IF(AND($O34=$O35,$P34&lt;VLOOKUP($O35,D!$G$5:$I$16,3,0)),$P34+1,""))</f>
        <v>#N/A</v>
      </c>
      <c r="AC37" s="253" t="e">
        <f>IF(AND(NOT($O34=$O35),BN$3&lt;=VLOOKUP($O35,D!$G$5:$I$16,3,0)),BN$3,IF(AND($O34=$O35,AB37&lt;VLOOKUP($O35,D!$G$5:$I$16,3,0),$P34&lt;AB37),AB37+1,""))</f>
        <v>#N/A</v>
      </c>
      <c r="AD37" s="253" t="e">
        <f>IF(AND(NOT($O34=$O35),BO$3&lt;=VLOOKUP($O35,D!$G$5:$I$16,3,0)),BO$3,IF(AND($O34=$O35,AC37&lt;VLOOKUP($O35,D!$G$5:$I$16,3,0),$P34&lt;AC37),AC37+1,""))</f>
        <v>#N/A</v>
      </c>
      <c r="AE37" s="253" t="e">
        <f>IF(AND(NOT($O34=$O35),BP$3&lt;=VLOOKUP($O35,D!$G$5:$I$16,3,0)),BP$3,IF(AND($O34=$O35,AD37&lt;VLOOKUP($O35,D!$G$5:$I$16,3,0),$P34&lt;AD37),AD37+1,""))</f>
        <v>#N/A</v>
      </c>
      <c r="AF37" s="253" t="e">
        <f>IF(AND(NOT($O34=$O35),BQ$3&lt;=VLOOKUP($O35,D!$G$5:$I$16,3,0)),BQ$3,IF(AND($O34=$O35,AE37&lt;VLOOKUP($O35,D!$G$5:$I$16,3,0),$P34&lt;AE37),AE37+1,""))</f>
        <v>#N/A</v>
      </c>
      <c r="AG37" s="253" t="e">
        <f>IF(AND(NOT($O34=$O35),BR$3&lt;=VLOOKUP($O35,D!$G$5:$I$16,3,0)),BR$3,IF(AND($O34=$O35,AF37&lt;VLOOKUP($O35,D!$G$5:$I$16,3,0),$P34&lt;AF37),AF37+1,""))</f>
        <v>#N/A</v>
      </c>
      <c r="AH37" s="253" t="e">
        <f>IF(AND(NOT($O34=$O35),BS$3&lt;=VLOOKUP($O35,D!$G$5:$I$16,3,0)),BS$3,IF(AND($O34=$O35,AG37&lt;VLOOKUP($O35,D!$G$5:$I$16,3,0),$P34&lt;AG37),AG37+1,""))</f>
        <v>#N/A</v>
      </c>
      <c r="AI37" s="253" t="e">
        <f>IF(AND(NOT($O34=$O35),BT$3&lt;=VLOOKUP($O35,D!$G$5:$I$16,3,0)),BT$3,IF(AND($O34=$O35,AH37&lt;VLOOKUP($O35,D!$G$5:$I$16,3,0),$P34&lt;AH37),AH37+1,""))</f>
        <v>#N/A</v>
      </c>
      <c r="AJ37" s="253" t="e">
        <f>IF(AND(NOT($O34=$O35),BU$3&lt;=VLOOKUP($O35,D!$G$5:$I$16,3,0)),BU$3,IF(AND($O34=$O35,AI37&lt;VLOOKUP($O35,D!$G$5:$I$16,3,0),$P34&lt;AI37),AI37+1,""))</f>
        <v>#N/A</v>
      </c>
      <c r="AK37" s="253" t="e">
        <f>IF(AND(NOT($O34=$O35),BV$3&lt;=VLOOKUP($O35,D!$G$5:$I$16,3,0)),BV$3,IF(AND($O34=$O35,AJ37&lt;VLOOKUP($O35,D!$G$5:$I$16,3,0),$P34&lt;AJ37),AJ37+1,""))</f>
        <v>#N/A</v>
      </c>
      <c r="AL37" s="253" t="e">
        <f>IF(AND(NOT($O34=$O35),BW$3&lt;=VLOOKUP($O35,D!$G$5:$I$16,3,0)),BW$3,IF(AND($O34=$O35,AK37&lt;VLOOKUP($O35,D!$G$5:$I$16,3,0),$P34&lt;AK37),AK37+1,""))</f>
        <v>#N/A</v>
      </c>
      <c r="AM37" s="253" t="e">
        <f>IF(AND(NOT($O34=$O35),BX$3&lt;=VLOOKUP($O35,D!$G$5:$I$16,3,0)),BX$3,IF(AND($O34=$O35,AL37&lt;VLOOKUP($O35,D!$G$5:$I$16,3,0),$P34&lt;AL37),AL37+1,""))</f>
        <v>#N/A</v>
      </c>
      <c r="AN37" s="253" t="e">
        <f>IF(AND(NOT($O34=$O35),BY$3&lt;=VLOOKUP($O35,D!$G$5:$I$16,3,0)),BY$3,IF(AND($O34=$O35,AM37&lt;VLOOKUP($O35,D!$G$5:$I$16,3,0),$P34&lt;AM37),AM37+1,""))</f>
        <v>#N/A</v>
      </c>
      <c r="AO37" s="253" t="e">
        <f>IF(AND(NOT($O34=$O35),BZ$3&lt;=VLOOKUP($O35,D!$G$5:$I$16,3,0)),BZ$3,IF(AND($O34=$O35,AN37&lt;VLOOKUP($O35,D!$G$5:$I$16,3,0),$P34&lt;AN37),AN37+1,""))</f>
        <v>#N/A</v>
      </c>
      <c r="AP37" s="253" t="e">
        <f>IF(AND(NOT($O34=$O35),CA$3&lt;=VLOOKUP($O35,D!$G$5:$I$16,3,0)),CA$3,IF(AND($O34=$O35,AO37&lt;VLOOKUP($O35,D!$G$5:$I$16,3,0),$P34&lt;AO37),AO37+1,""))</f>
        <v>#N/A</v>
      </c>
      <c r="AQ37" s="253" t="e">
        <f>IF(AND(NOT($O34=$O35),CB$3&lt;=VLOOKUP($O35,D!$G$5:$I$16,3,0)),CB$3,IF(AND($O34=$O35,AP37&lt;VLOOKUP($O35,D!$G$5:$I$16,3,0),$P34&lt;AP37),AP37+1,""))</f>
        <v>#N/A</v>
      </c>
      <c r="AR37" s="253" t="e">
        <f>IF(AND(NOT($O34=$O35),CC$3&lt;=VLOOKUP($O35,D!$G$5:$I$16,3,0)),CC$3,IF(AND($O34=$O35,AQ37&lt;VLOOKUP($O35,D!$G$5:$I$16,3,0),$P34&lt;AQ37),AQ37+1,""))</f>
        <v>#N/A</v>
      </c>
      <c r="AS37" s="253" t="e">
        <f>IF(AND(NOT($O34=$O35),CD$3&lt;=VLOOKUP($O35,D!$G$5:$I$16,3,0)),CD$3,IF(AND($O34=$O35,AR37&lt;VLOOKUP($O35,D!$G$5:$I$16,3,0),$P34&lt;AR37),AR37+1,""))</f>
        <v>#N/A</v>
      </c>
      <c r="AT37" s="253" t="e">
        <f>IF(AND(NOT($O34=$O35),CE$3&lt;=VLOOKUP($O35,D!$G$5:$I$16,3,0)),CE$3,IF(AND($O34=$O35,AS37&lt;VLOOKUP($O35,D!$G$5:$I$16,3,0),$P34&lt;AS37),AS37+1,""))</f>
        <v>#N/A</v>
      </c>
      <c r="AU37" s="253" t="e">
        <f>IF(AND(NOT($O34=$O35),CF$3&lt;=VLOOKUP($O35,D!$G$5:$I$16,3,0)),CF$3,IF(AND($O34=$O35,AT37&lt;VLOOKUP($O35,D!$G$5:$I$16,3,0),$P34&lt;AT37),AT37+1,""))</f>
        <v>#N/A</v>
      </c>
      <c r="AV37" s="253" t="e">
        <f>IF(AND(NOT($O34=$O35),CG$3&lt;=VLOOKUP($O35,D!$G$5:$I$16,3,0)),CG$3,IF(AND($O34=$O35,AU37&lt;VLOOKUP($O35,D!$G$5:$I$16,3,0),$P34&lt;AU37),AU37+1,""))</f>
        <v>#N/A</v>
      </c>
      <c r="AW37" s="253" t="e">
        <f>IF(AND(NOT($O34=$O35),CH$3&lt;=VLOOKUP($O35,D!$G$5:$I$16,3,0)),CH$3,IF(AND($O34=$O35,AV37&lt;VLOOKUP($O35,D!$G$5:$I$16,3,0),$P34&lt;AV37),AV37+1,""))</f>
        <v>#N/A</v>
      </c>
      <c r="AX37" s="253" t="e">
        <f>IF(AND(NOT($O34=$O35),CI$3&lt;=VLOOKUP($O35,D!$G$5:$I$16,3,0)),CI$3,IF(AND($O34=$O35,AW37&lt;VLOOKUP($O35,D!$G$5:$I$16,3,0),$P34&lt;AW37),AW37+1,""))</f>
        <v>#N/A</v>
      </c>
      <c r="AY37" s="253" t="e">
        <f>IF(AND(NOT($O34=$O35),CJ$3&lt;=VLOOKUP($O35,D!$G$5:$I$16,3,0)),CJ$3,IF(AND($O34=$O35,AX37&lt;VLOOKUP($O35,D!$G$5:$I$16,3,0),$P34&lt;AX37),AX37+1,""))</f>
        <v>#N/A</v>
      </c>
      <c r="AZ37" s="253" t="e">
        <f>IF(AND(NOT($O34=$O35),CK$3&lt;=VLOOKUP($O35,D!$G$5:$I$16,3,0)),CK$3,IF(AND($O34=$O35,AY37&lt;VLOOKUP($O35,D!$G$5:$I$16,3,0),$P34&lt;AY37),AY37+1,""))</f>
        <v>#N/A</v>
      </c>
      <c r="BA37" s="253" t="e">
        <f>IF(AND(NOT($O34=$O35),CL$3&lt;=VLOOKUP($O35,D!$G$5:$I$16,3,0)),CL$3,IF(AND($O34=$O35,AZ37&lt;VLOOKUP($O35,D!$G$5:$I$16,3,0),$P34&lt;AZ37),AZ37+1,""))</f>
        <v>#N/A</v>
      </c>
      <c r="BB37" s="253" t="e">
        <f>IF(AND(NOT($O34=$O35),CM$3&lt;=VLOOKUP($O35,D!$G$5:$I$16,3,0)),CM$3,IF(AND($O34=$O35,BA37&lt;VLOOKUP($O35,D!$G$5:$I$16,3,0),$P34&lt;BA37),BA37+1,""))</f>
        <v>#N/A</v>
      </c>
      <c r="BC37" s="253" t="e">
        <f>IF(AND(NOT($O34=$O35),CN$3&lt;=VLOOKUP($O35,D!$G$5:$I$16,3,0)),CN$3,IF(AND($O34=$O35,BB37&lt;VLOOKUP($O35,D!$G$5:$I$16,3,0),$P34&lt;BB37),BB37+1,""))</f>
        <v>#N/A</v>
      </c>
      <c r="BD37" s="253" t="e">
        <f>IF(AND(NOT($O34=$O35),CO$3&lt;=VLOOKUP($O35,D!$G$5:$I$16,3,0)),CO$3,IF(AND($O34=$O35,BC37&lt;VLOOKUP($O35,D!$G$5:$I$16,3,0),$P34&lt;BC37),BC37+1,""))</f>
        <v>#N/A</v>
      </c>
      <c r="BE37" s="253" t="e">
        <f>IF(AND(NOT($O34=$O35),CP$3&lt;=VLOOKUP($O35,D!$G$5:$I$16,3,0)),CP$3,IF(AND($O34=$O35,BD37&lt;VLOOKUP($O35,D!$G$5:$I$16,3,0),$P34&lt;BD37),BD37+1,""))</f>
        <v>#N/A</v>
      </c>
      <c r="BF37" s="253" t="e">
        <f>IF(AND(NOT($O34=$O35),CQ$3&lt;=VLOOKUP($O35,D!$G$5:$I$16,3,0)),CQ$3,IF(AND($O34=$O35,BE37&lt;VLOOKUP($O35,D!$G$5:$I$16,3,0),$P34&lt;BE37),BE37+1,""))</f>
        <v>#N/A</v>
      </c>
      <c r="BK37" s="1">
        <f t="shared" si="2"/>
        <v>31</v>
      </c>
      <c r="BM37" s="1" t="str">
        <f t="shared" si="3"/>
        <v xml:space="preserve"> </v>
      </c>
      <c r="BP37" s="1" t="str">
        <f>IF(DAY_SCH!A35="","",DAY_SCH!A35)</f>
        <v/>
      </c>
    </row>
    <row r="38" spans="1:68">
      <c r="A38" s="9"/>
      <c r="B38" s="260"/>
      <c r="C38" s="279" t="s">
        <v>395</v>
      </c>
      <c r="D38" s="262"/>
      <c r="E38" s="262"/>
      <c r="F38" s="267" t="s">
        <v>396</v>
      </c>
      <c r="G38" s="268" t="s">
        <v>93</v>
      </c>
      <c r="H38" s="268"/>
      <c r="I38" s="264"/>
      <c r="J38" s="267" t="str">
        <f t="shared" si="5"/>
        <v>MON:</v>
      </c>
      <c r="K38" s="268" t="s">
        <v>93</v>
      </c>
      <c r="L38" s="268"/>
      <c r="M38" s="269"/>
      <c r="N38" s="267" t="s">
        <v>396</v>
      </c>
      <c r="O38" s="268" t="s">
        <v>93</v>
      </c>
      <c r="P38" s="268"/>
      <c r="Q38" s="269"/>
      <c r="R38" s="267" t="s">
        <v>397</v>
      </c>
      <c r="S38" s="270" t="s">
        <v>93</v>
      </c>
      <c r="T38" s="270"/>
      <c r="U38" s="243"/>
      <c r="W38" s="258" t="str">
        <f>IF(OR(AND(VLOOKUP(G34,D!$G$4:$I$17,2,0)=D!$H$8,H34=VLOOKUP(G34,D!$G$4:$I$17,3,0)),VLOOKUP(G34,D!$G$4:$I$17,2,0)&gt;D!$H$8),"",LOOKUP(D!$H$8,D!$H$4:$H$17,D!$G$4:$G$17))</f>
        <v>April</v>
      </c>
      <c r="X38" s="258" t="str">
        <f>IF(OR(AND(VLOOKUP(K34,D!$G$4:$I$17,2,0)=D!$H$8,L34=VLOOKUP(K34,D!$G$4:$I$17,3,0)),VLOOKUP(K34,D!$G$4:$I$17,2,0)&gt;D!$H$8),"",LOOKUP(D!$H$8,D!$H$4:$H$17,D!$G$4:$G$17))</f>
        <v>April</v>
      </c>
      <c r="Y38" s="258" t="e">
        <f>IF(OR(AND(VLOOKUP(O34,D!$G$4:$I$17,2,0)=D!$H$8,P34=VLOOKUP(O34,D!$G$4:$I$17,3,0)),VLOOKUP(O34,D!$G$4:$I$17,2,0)&gt;D!$H$8),"",LOOKUP(D!$H$8,D!$H$4:$H$17,D!$G$4:$G$17))</f>
        <v>#N/A</v>
      </c>
      <c r="Z38" s="258" t="e">
        <f>IF(OR(AND(VLOOKUP(S34,D!$G$4:$I$17,2,0)=D!$H$8,T34=VLOOKUP(S34,D!$G$4:$I$17,3,0)),VLOOKUP(S34,D!$G$4:$I$17,2,0)&gt;D!$H$8),"",LOOKUP(D!$H$8,D!$H$4:$H$17,D!$G$4:$G$17))</f>
        <v>#N/A</v>
      </c>
      <c r="AA38" s="1" t="str">
        <f>" "</f>
        <v xml:space="preserve"> </v>
      </c>
      <c r="AB38" s="253" t="e">
        <f>IF(AND(NOT($S34=$S35),BM$3&lt;=VLOOKUP($S35,D!$G$5:$I$16,3,0)),BM$3,IF(AND($S34=$S35,$T34&lt;VLOOKUP($S35,D!$G$5:$I$16,3,0)),$T34+1,""))</f>
        <v>#N/A</v>
      </c>
      <c r="AC38" s="253" t="e">
        <f>IF(AND(NOT($S34=$S35),BN$3&lt;=VLOOKUP($S35,D!$G$5:$I$16,3,0)),BN$3,IF(AND($S34=$S35,AB38&lt;VLOOKUP($S35,D!$G$5:$I$16,3,0),$T34&lt;AB38),AB38+1,""))</f>
        <v>#N/A</v>
      </c>
      <c r="AD38" s="253" t="e">
        <f>IF(AND(NOT($S34=$S35),BO$3&lt;=VLOOKUP($S35,D!$G$5:$I$16,3,0)),BO$3,IF(AND($S34=$S35,AC38&lt;VLOOKUP($S35,D!$G$5:$I$16,3,0),$T34&lt;AC38),AC38+1,""))</f>
        <v>#N/A</v>
      </c>
      <c r="AE38" s="253" t="e">
        <f>IF(AND(NOT($S34=$S35),BP$3&lt;=VLOOKUP($S35,D!$G$5:$I$16,3,0)),BP$3,IF(AND($S34=$S35,AD38&lt;VLOOKUP($S35,D!$G$5:$I$16,3,0),$T34&lt;AD38),AD38+1,""))</f>
        <v>#N/A</v>
      </c>
      <c r="AF38" s="253" t="e">
        <f>IF(AND(NOT($S34=$S35),BQ$3&lt;=VLOOKUP($S35,D!$G$5:$I$16,3,0)),BQ$3,IF(AND($S34=$S35,AE38&lt;VLOOKUP($S35,D!$G$5:$I$16,3,0),$T34&lt;AE38),AE38+1,""))</f>
        <v>#N/A</v>
      </c>
      <c r="AG38" s="253" t="e">
        <f>IF(AND(NOT($S34=$S35),BR$3&lt;=VLOOKUP($S35,D!$G$5:$I$16,3,0)),BR$3,IF(AND($S34=$S35,AF38&lt;VLOOKUP($S35,D!$G$5:$I$16,3,0),$T34&lt;AF38),AF38+1,""))</f>
        <v>#N/A</v>
      </c>
      <c r="AH38" s="253" t="e">
        <f>IF(AND(NOT($S34=$S35),BS$3&lt;=VLOOKUP($S35,D!$G$5:$I$16,3,0)),BS$3,IF(AND($S34=$S35,AG38&lt;VLOOKUP($S35,D!$G$5:$I$16,3,0),$T34&lt;AG38),AG38+1,""))</f>
        <v>#N/A</v>
      </c>
      <c r="AI38" s="253" t="e">
        <f>IF(AND(NOT($S34=$S35),BT$3&lt;=VLOOKUP($S35,D!$G$5:$I$16,3,0)),BT$3,IF(AND($S34=$S35,AH38&lt;VLOOKUP($S35,D!$G$5:$I$16,3,0),$T34&lt;AH38),AH38+1,""))</f>
        <v>#N/A</v>
      </c>
      <c r="AJ38" s="253" t="e">
        <f>IF(AND(NOT($S34=$S35),BU$3&lt;=VLOOKUP($S35,D!$G$5:$I$16,3,0)),BU$3,IF(AND($S34=$S35,AI38&lt;VLOOKUP($S35,D!$G$5:$I$16,3,0),$T34&lt;AI38),AI38+1,""))</f>
        <v>#N/A</v>
      </c>
      <c r="AK38" s="253" t="e">
        <f>IF(AND(NOT($S34=$S35),BV$3&lt;=VLOOKUP($S35,D!$G$5:$I$16,3,0)),BV$3,IF(AND($S34=$S35,AJ38&lt;VLOOKUP($S35,D!$G$5:$I$16,3,0),$T34&lt;AJ38),AJ38+1,""))</f>
        <v>#N/A</v>
      </c>
      <c r="AL38" s="253" t="e">
        <f>IF(AND(NOT($S34=$S35),BW$3&lt;=VLOOKUP($S35,D!$G$5:$I$16,3,0)),BW$3,IF(AND($S34=$S35,AK38&lt;VLOOKUP($S35,D!$G$5:$I$16,3,0),$T34&lt;AK38),AK38+1,""))</f>
        <v>#N/A</v>
      </c>
      <c r="AM38" s="253" t="e">
        <f>IF(AND(NOT($S34=$S35),BX$3&lt;=VLOOKUP($S35,D!$G$5:$I$16,3,0)),BX$3,IF(AND($S34=$S35,AL38&lt;VLOOKUP($S35,D!$G$5:$I$16,3,0),$T34&lt;AL38),AL38+1,""))</f>
        <v>#N/A</v>
      </c>
      <c r="AN38" s="253" t="e">
        <f>IF(AND(NOT($S34=$S35),BY$3&lt;=VLOOKUP($S35,D!$G$5:$I$16,3,0)),BY$3,IF(AND($S34=$S35,AM38&lt;VLOOKUP($S35,D!$G$5:$I$16,3,0),$T34&lt;AM38),AM38+1,""))</f>
        <v>#N/A</v>
      </c>
      <c r="AO38" s="253" t="e">
        <f>IF(AND(NOT($S34=$S35),BZ$3&lt;=VLOOKUP($S35,D!$G$5:$I$16,3,0)),BZ$3,IF(AND($S34=$S35,AN38&lt;VLOOKUP($S35,D!$G$5:$I$16,3,0),$T34&lt;AN38),AN38+1,""))</f>
        <v>#N/A</v>
      </c>
      <c r="AP38" s="253" t="e">
        <f>IF(AND(NOT($S34=$S35),CA$3&lt;=VLOOKUP($S35,D!$G$5:$I$16,3,0)),CA$3,IF(AND($S34=$S35,AO38&lt;VLOOKUP($S35,D!$G$5:$I$16,3,0),$T34&lt;AO38),AO38+1,""))</f>
        <v>#N/A</v>
      </c>
      <c r="AQ38" s="253" t="e">
        <f>IF(AND(NOT($S34=$S35),CB$3&lt;=VLOOKUP($S35,D!$G$5:$I$16,3,0)),CB$3,IF(AND($S34=$S35,AP38&lt;VLOOKUP($S35,D!$G$5:$I$16,3,0),$T34&lt;AP38),AP38+1,""))</f>
        <v>#N/A</v>
      </c>
      <c r="AR38" s="253" t="e">
        <f>IF(AND(NOT($S34=$S35),CC$3&lt;=VLOOKUP($S35,D!$G$5:$I$16,3,0)),CC$3,IF(AND($S34=$S35,AQ38&lt;VLOOKUP($S35,D!$G$5:$I$16,3,0),$T34&lt;AQ38),AQ38+1,""))</f>
        <v>#N/A</v>
      </c>
      <c r="AS38" s="253" t="e">
        <f>IF(AND(NOT($S34=$S35),CD$3&lt;=VLOOKUP($S35,D!$G$5:$I$16,3,0)),CD$3,IF(AND($S34=$S35,AR38&lt;VLOOKUP($S35,D!$G$5:$I$16,3,0),$T34&lt;AR38),AR38+1,""))</f>
        <v>#N/A</v>
      </c>
      <c r="AT38" s="253" t="e">
        <f>IF(AND(NOT($S34=$S35),CE$3&lt;=VLOOKUP($S35,D!$G$5:$I$16,3,0)),CE$3,IF(AND($S34=$S35,AS38&lt;VLOOKUP($S35,D!$G$5:$I$16,3,0),$T34&lt;AS38),AS38+1,""))</f>
        <v>#N/A</v>
      </c>
      <c r="AU38" s="253" t="e">
        <f>IF(AND(NOT($S34=$S35),CF$3&lt;=VLOOKUP($S35,D!$G$5:$I$16,3,0)),CF$3,IF(AND($S34=$S35,AT38&lt;VLOOKUP($S35,D!$G$5:$I$16,3,0),$T34&lt;AT38),AT38+1,""))</f>
        <v>#N/A</v>
      </c>
      <c r="AV38" s="253" t="e">
        <f>IF(AND(NOT($S34=$S35),CG$3&lt;=VLOOKUP($S35,D!$G$5:$I$16,3,0)),CG$3,IF(AND($S34=$S35,AU38&lt;VLOOKUP($S35,D!$G$5:$I$16,3,0),$T34&lt;AU38),AU38+1,""))</f>
        <v>#N/A</v>
      </c>
      <c r="AW38" s="253" t="e">
        <f>IF(AND(NOT($S34=$S35),CH$3&lt;=VLOOKUP($S35,D!$G$5:$I$16,3,0)),CH$3,IF(AND($S34=$S35,AV38&lt;VLOOKUP($S35,D!$G$5:$I$16,3,0),$T34&lt;AV38),AV38+1,""))</f>
        <v>#N/A</v>
      </c>
      <c r="AX38" s="253" t="e">
        <f>IF(AND(NOT($S34=$S35),CI$3&lt;=VLOOKUP($S35,D!$G$5:$I$16,3,0)),CI$3,IF(AND($S34=$S35,AW38&lt;VLOOKUP($S35,D!$G$5:$I$16,3,0),$T34&lt;AW38),AW38+1,""))</f>
        <v>#N/A</v>
      </c>
      <c r="AY38" s="253" t="e">
        <f>IF(AND(NOT($S34=$S35),CJ$3&lt;=VLOOKUP($S35,D!$G$5:$I$16,3,0)),CJ$3,IF(AND($S34=$S35,AX38&lt;VLOOKUP($S35,D!$G$5:$I$16,3,0),$T34&lt;AX38),AX38+1,""))</f>
        <v>#N/A</v>
      </c>
      <c r="AZ38" s="253" t="e">
        <f>IF(AND(NOT($S34=$S35),CK$3&lt;=VLOOKUP($S35,D!$G$5:$I$16,3,0)),CK$3,IF(AND($S34=$S35,AY38&lt;VLOOKUP($S35,D!$G$5:$I$16,3,0),$T34&lt;AY38),AY38+1,""))</f>
        <v>#N/A</v>
      </c>
      <c r="BA38" s="253" t="e">
        <f>IF(AND(NOT($S34=$S35),CL$3&lt;=VLOOKUP($S35,D!$G$5:$I$16,3,0)),CL$3,IF(AND($S34=$S35,AZ38&lt;VLOOKUP($S35,D!$G$5:$I$16,3,0),$T34&lt;AZ38),AZ38+1,""))</f>
        <v>#N/A</v>
      </c>
      <c r="BB38" s="253" t="e">
        <f>IF(AND(NOT($S34=$S35),CM$3&lt;=VLOOKUP($S35,D!$G$5:$I$16,3,0)),CM$3,IF(AND($S34=$S35,BA38&lt;VLOOKUP($S35,D!$G$5:$I$16,3,0),$T34&lt;BA38),BA38+1,""))</f>
        <v>#N/A</v>
      </c>
      <c r="BC38" s="253" t="e">
        <f>IF(AND(NOT($S34=$S35),CN$3&lt;=VLOOKUP($S35,D!$G$5:$I$16,3,0)),CN$3,IF(AND($S34=$S35,BB38&lt;VLOOKUP($S35,D!$G$5:$I$16,3,0),$T34&lt;BB38),BB38+1,""))</f>
        <v>#N/A</v>
      </c>
      <c r="BD38" s="253" t="e">
        <f>IF(AND(NOT($S34=$S35),CO$3&lt;=VLOOKUP($S35,D!$G$5:$I$16,3,0)),CO$3,IF(AND($S34=$S35,BC38&lt;VLOOKUP($S35,D!$G$5:$I$16,3,0),$T34&lt;BC38),BC38+1,""))</f>
        <v>#N/A</v>
      </c>
      <c r="BE38" s="253" t="e">
        <f>IF(AND(NOT($S34=$S35),CP$3&lt;=VLOOKUP($S35,D!$G$5:$I$16,3,0)),CP$3,IF(AND($S34=$S35,BD38&lt;VLOOKUP($S35,D!$G$5:$I$16,3,0),$T34&lt;BD38),BD38+1,""))</f>
        <v>#N/A</v>
      </c>
      <c r="BF38" s="253" t="e">
        <f>IF(AND(NOT($S34=$S35),CQ$3&lt;=VLOOKUP($S35,D!$G$5:$I$16,3,0)),CQ$3,IF(AND($S34=$S35,BE38&lt;VLOOKUP($S35,D!$G$5:$I$16,3,0),$T34&lt;BE38),BE38+1,""))</f>
        <v>#N/A</v>
      </c>
      <c r="BP38" s="1" t="str">
        <f>IF(DAY_SCH!A36="","",DAY_SCH!A36)</f>
        <v/>
      </c>
    </row>
    <row r="39" spans="1:68">
      <c r="A39" s="9"/>
      <c r="B39" s="260"/>
      <c r="C39" s="280" t="s">
        <v>93</v>
      </c>
      <c r="D39" s="280"/>
      <c r="E39" s="280"/>
      <c r="F39" s="267" t="s">
        <v>402</v>
      </c>
      <c r="G39" s="268" t="s">
        <v>93</v>
      </c>
      <c r="H39" s="268"/>
      <c r="I39" s="264"/>
      <c r="J39" s="267" t="str">
        <f t="shared" si="5"/>
        <v>TUE:</v>
      </c>
      <c r="K39" s="268" t="s">
        <v>93</v>
      </c>
      <c r="L39" s="268"/>
      <c r="M39" s="269"/>
      <c r="N39" s="267" t="s">
        <v>402</v>
      </c>
      <c r="O39" s="268" t="s">
        <v>93</v>
      </c>
      <c r="P39" s="268"/>
      <c r="Q39" s="269"/>
      <c r="R39" s="267" t="s">
        <v>403</v>
      </c>
      <c r="S39" s="270" t="s">
        <v>93</v>
      </c>
      <c r="T39" s="270"/>
      <c r="U39" s="243"/>
      <c r="W39" s="258" t="str">
        <f>IF(OR(AND(VLOOKUP(G34,D!$G$4:$I$17,2,0)=D!$H$9,H34=VLOOKUP(G34,D!$G$4:$I$17,3,0)),VLOOKUP(G34,D!$G$4:$I$17,2,0)&gt;D!$H$9),"",LOOKUP(D!$H$9,D!$H$4:$H$17,D!$G$4:$G$17))</f>
        <v>May</v>
      </c>
      <c r="X39" s="258" t="str">
        <f>IF(OR(AND(VLOOKUP(K34,D!$G$4:$I$17,2,0)=D!$H$9,L34=VLOOKUP(K34,D!$G$4:$I$17,3,0)),VLOOKUP(K34,D!$G$4:$I$17,2,0)&gt;D!$H$9),"",LOOKUP(D!$H$9,D!$H$4:$H$17,D!$G$4:$G$17))</f>
        <v>May</v>
      </c>
      <c r="Y39" s="258" t="e">
        <f>IF(OR(AND(VLOOKUP(O34,D!$G$4:$I$17,2,0)=D!$H$9,P34=VLOOKUP(O34,D!$G$4:$I$17,3,0)),VLOOKUP(O34,D!$G$4:$I$17,2,0)&gt;D!$H$9),"",LOOKUP(D!$H$9,D!$H$4:$H$17,D!$G$4:$G$17))</f>
        <v>#N/A</v>
      </c>
      <c r="Z39" s="258" t="e">
        <f>IF(OR(AND(VLOOKUP(S34,D!$G$4:$I$17,2,0)=D!$H$9,T34=VLOOKUP(S34,D!$G$4:$I$17,3,0)),VLOOKUP(S34,D!$G$4:$I$17,2,0)&gt;D!$H$9),"",LOOKUP(D!$H$9,D!$H$4:$H$17,D!$G$4:$G$17))</f>
        <v>#N/A</v>
      </c>
      <c r="AN39" s="273"/>
      <c r="AO39" s="273"/>
      <c r="AP39" s="273"/>
      <c r="AR39" s="273"/>
      <c r="AS39" s="273"/>
      <c r="AT39" s="273"/>
      <c r="AV39" s="273"/>
      <c r="AW39" s="273"/>
      <c r="AX39" s="273"/>
      <c r="AZ39" s="273"/>
      <c r="BA39" s="273"/>
      <c r="BB39" s="273"/>
      <c r="BC39" s="266"/>
      <c r="BD39" s="266"/>
      <c r="BE39" s="266"/>
      <c r="BF39" s="266"/>
      <c r="BP39" s="1" t="str">
        <f>IF(DAY_SCH!A37="","",DAY_SCH!A37)</f>
        <v/>
      </c>
    </row>
    <row r="40" spans="1:68">
      <c r="A40" s="9"/>
      <c r="B40" s="260"/>
      <c r="C40" s="280"/>
      <c r="D40" s="280"/>
      <c r="E40" s="280"/>
      <c r="F40" s="267" t="s">
        <v>407</v>
      </c>
      <c r="G40" s="268" t="s">
        <v>93</v>
      </c>
      <c r="H40" s="268"/>
      <c r="I40" s="264"/>
      <c r="J40" s="267" t="str">
        <f t="shared" si="5"/>
        <v>WED:</v>
      </c>
      <c r="K40" s="268" t="s">
        <v>93</v>
      </c>
      <c r="L40" s="268"/>
      <c r="M40" s="269"/>
      <c r="N40" s="267" t="s">
        <v>407</v>
      </c>
      <c r="O40" s="268" t="s">
        <v>93</v>
      </c>
      <c r="P40" s="268"/>
      <c r="Q40" s="269"/>
      <c r="R40" s="267" t="s">
        <v>408</v>
      </c>
      <c r="S40" s="270" t="s">
        <v>93</v>
      </c>
      <c r="T40" s="270"/>
      <c r="U40" s="243"/>
      <c r="W40" s="258" t="str">
        <f>IF(OR(AND(VLOOKUP(G34,D!$G$4:$I$17,2,0)=D!$H$10,H34=VLOOKUP(G34,D!$G$4:$I$17,3,0)),VLOOKUP(G34,D!$G$4:$I$17,2,0)&gt;D!$H$10),"",LOOKUP(D!$H$10,D!$H$4:$H$17,D!$G$4:$G$17))</f>
        <v>June</v>
      </c>
      <c r="X40" s="258" t="str">
        <f>IF(OR(AND(VLOOKUP(K34,D!$G$4:$I$17,2,0)=D!$H$10,L34=VLOOKUP(K34,D!$G$4:$I$17,3,0)),VLOOKUP(K34,D!$G$4:$I$17,2,0)&gt;D!$H$10),"",LOOKUP(D!$H$10,D!$H$4:$H$17,D!$G$4:$G$17))</f>
        <v>June</v>
      </c>
      <c r="Y40" s="258" t="e">
        <f>IF(OR(AND(VLOOKUP(O34,D!$G$4:$I$17,2,0)=D!$H$10,P34=VLOOKUP(O34,D!$G$4:$I$17,3,0)),VLOOKUP(O34,D!$G$4:$I$17,2,0)&gt;D!$H$10),"",LOOKUP(D!$H$10,D!$H$4:$H$17,D!$G$4:$G$17))</f>
        <v>#N/A</v>
      </c>
      <c r="Z40" s="258" t="e">
        <f>IF(OR(AND(VLOOKUP(S34,D!$G$4:$I$17,2,0)=D!$H$10,T34=VLOOKUP(S34,D!$G$4:$I$17,3,0)),VLOOKUP(S34,D!$G$4:$I$17,2,0)&gt;D!$H$10),"",LOOKUP(D!$H$10,D!$H$4:$H$17,D!$G$4:$G$17))</f>
        <v>#N/A</v>
      </c>
      <c r="AN40" s="273"/>
      <c r="AO40" s="273"/>
      <c r="AP40" s="273"/>
      <c r="AR40" s="273"/>
      <c r="AS40" s="273"/>
      <c r="AT40" s="273"/>
      <c r="AV40" s="273"/>
      <c r="AW40" s="273"/>
      <c r="AX40" s="273"/>
      <c r="AZ40" s="273"/>
      <c r="BA40" s="273"/>
      <c r="BB40" s="273"/>
      <c r="BC40" s="266"/>
      <c r="BD40" s="266"/>
      <c r="BE40" s="266"/>
      <c r="BF40" s="266"/>
      <c r="BP40" s="1" t="str">
        <f>IF(DAY_SCH!A38="","",DAY_SCH!A38)</f>
        <v/>
      </c>
    </row>
    <row r="41" spans="1:68" ht="25.5">
      <c r="A41" s="9"/>
      <c r="B41" s="260"/>
      <c r="C41" s="281" t="s">
        <v>410</v>
      </c>
      <c r="D41" s="281"/>
      <c r="E41" s="262"/>
      <c r="F41" s="267" t="s">
        <v>411</v>
      </c>
      <c r="G41" s="268" t="s">
        <v>93</v>
      </c>
      <c r="H41" s="268"/>
      <c r="I41" s="264"/>
      <c r="J41" s="267" t="str">
        <f t="shared" si="5"/>
        <v>THU:</v>
      </c>
      <c r="K41" s="268" t="s">
        <v>93</v>
      </c>
      <c r="L41" s="268"/>
      <c r="M41" s="269"/>
      <c r="N41" s="267" t="s">
        <v>411</v>
      </c>
      <c r="O41" s="268" t="s">
        <v>93</v>
      </c>
      <c r="P41" s="268"/>
      <c r="Q41" s="269"/>
      <c r="R41" s="267" t="s">
        <v>412</v>
      </c>
      <c r="S41" s="270" t="s">
        <v>93</v>
      </c>
      <c r="T41" s="270"/>
      <c r="U41" s="243"/>
      <c r="W41" s="258" t="str">
        <f>IF(OR(AND(VLOOKUP(G34,D!$G$4:$I$17,2,0)=D!$H$11,H34=VLOOKUP(G34,D!$G$4:$I$17,3,0)),VLOOKUP(G34,D!$G$4:$I$17,2,0)&gt;D!$H$11),"",LOOKUP(D!$H$11,D!$H$4:$H$17,D!$G$4:$G$17))</f>
        <v>July</v>
      </c>
      <c r="X41" s="258" t="str">
        <f>IF(OR(AND(VLOOKUP(K34,D!$G$4:$I$17,2,0)=D!$H$11,L34=VLOOKUP(K34,D!$G$4:$I$17,3,0)),VLOOKUP(K34,D!$G$4:$I$17,2,0)&gt;D!$H$11),"",LOOKUP(D!$H$11,D!$H$4:$H$17,D!$G$4:$G$17))</f>
        <v>July</v>
      </c>
      <c r="Y41" s="258" t="e">
        <f>IF(OR(AND(VLOOKUP(O34,D!$G$4:$I$17,2,0)=D!$H$11,P34=VLOOKUP(O34,D!$G$4:$I$17,3,0)),VLOOKUP(O34,D!$G$4:$I$17,2,0)&gt;D!$H$11),"",LOOKUP(D!$H$11,D!$H$4:$H$17,D!$G$4:$G$17))</f>
        <v>#N/A</v>
      </c>
      <c r="Z41" s="258" t="e">
        <f>IF(OR(AND(VLOOKUP(S34,D!$G$4:$I$17,2,0)=D!$H$11,T34=VLOOKUP(S34,D!$G$4:$I$17,3,0)),VLOOKUP(S34,D!$G$4:$I$17,2,0)&gt;D!$H$11),"",LOOKUP(D!$H$11,D!$H$4:$H$17,D!$G$4:$G$17))</f>
        <v>#N/A</v>
      </c>
      <c r="AN41" s="273"/>
      <c r="AO41" s="273"/>
      <c r="AP41" s="273"/>
      <c r="AR41" s="273"/>
      <c r="AS41" s="273"/>
      <c r="AT41" s="273"/>
      <c r="AV41" s="273"/>
      <c r="AW41" s="273"/>
      <c r="AX41" s="273"/>
      <c r="AZ41" s="273"/>
      <c r="BA41" s="273"/>
      <c r="BB41" s="273"/>
      <c r="BC41" s="266"/>
      <c r="BD41" s="266"/>
      <c r="BE41" s="266"/>
      <c r="BF41" s="266"/>
      <c r="BP41" s="1" t="str">
        <f>IF(DAY_SCH!A39="","",DAY_SCH!A39)</f>
        <v/>
      </c>
    </row>
    <row r="42" spans="1:68">
      <c r="A42" s="9"/>
      <c r="B42" s="260"/>
      <c r="C42" s="281"/>
      <c r="D42" s="281"/>
      <c r="E42" s="262"/>
      <c r="F42" s="267" t="s">
        <v>414</v>
      </c>
      <c r="G42" s="268" t="s">
        <v>93</v>
      </c>
      <c r="H42" s="268"/>
      <c r="I42" s="264"/>
      <c r="J42" s="267" t="str">
        <f t="shared" si="5"/>
        <v>FRI:</v>
      </c>
      <c r="K42" s="268" t="s">
        <v>93</v>
      </c>
      <c r="L42" s="268"/>
      <c r="M42" s="269"/>
      <c r="N42" s="267" t="s">
        <v>414</v>
      </c>
      <c r="O42" s="268" t="s">
        <v>93</v>
      </c>
      <c r="P42" s="268"/>
      <c r="Q42" s="269"/>
      <c r="R42" s="267" t="s">
        <v>415</v>
      </c>
      <c r="S42" s="270" t="s">
        <v>93</v>
      </c>
      <c r="T42" s="270"/>
      <c r="U42" s="243"/>
      <c r="W42" s="258" t="str">
        <f>IF(OR(AND(VLOOKUP(G34,D!$G$4:$I$17,2,0)=D!$H$12,H34=VLOOKUP(G34,D!$G$4:$I$17,3,0)),VLOOKUP(G34,D!$G$4:$I$17,2,0)&gt;D!$H$12),"",LOOKUP(D!$H$12,D!$H$4:$H$17,D!$G$4:$G$17))</f>
        <v>August</v>
      </c>
      <c r="X42" s="258" t="str">
        <f>IF(OR(AND(VLOOKUP(K34,D!$G$4:$I$17,2,0)=D!$H$12,L34=VLOOKUP(K34,D!$G$4:$I$17,3,0)),VLOOKUP(K34,D!$G$4:$I$17,2,0)&gt;D!$H$12),"",LOOKUP(D!$H$12,D!$H$4:$H$17,D!$G$4:$G$17))</f>
        <v>August</v>
      </c>
      <c r="Y42" s="258" t="e">
        <f>IF(OR(AND(VLOOKUP(O34,D!$G$4:$I$17,2,0)=D!$H$12,P34=VLOOKUP(O34,D!$G$4:$I$17,3,0)),VLOOKUP(O34,D!$G$4:$I$17,2,0)&gt;D!$H$12),"",LOOKUP(D!$H$12,D!$H$4:$H$17,D!$G$4:$G$17))</f>
        <v>#N/A</v>
      </c>
      <c r="Z42" s="258" t="e">
        <f>IF(OR(AND(VLOOKUP(S34,D!$G$4:$I$17,2,0)=D!$H$12,T34=VLOOKUP(S34,D!$G$4:$I$17,3,0)),VLOOKUP(S34,D!$G$4:$I$17,2,0)&gt;D!$H$12),"",LOOKUP(D!$H$12,D!$H$4:$H$17,D!$G$4:$G$17))</f>
        <v>#N/A</v>
      </c>
      <c r="AN42" s="273"/>
      <c r="AO42" s="273"/>
      <c r="AP42" s="273"/>
      <c r="AR42" s="273"/>
      <c r="AS42" s="273"/>
      <c r="AT42" s="273"/>
      <c r="AV42" s="273"/>
      <c r="AW42" s="273"/>
      <c r="AX42" s="273"/>
      <c r="AZ42" s="273"/>
      <c r="BA42" s="273"/>
      <c r="BB42" s="273"/>
      <c r="BC42" s="266"/>
      <c r="BD42" s="266"/>
      <c r="BE42" s="266"/>
      <c r="BF42" s="266"/>
      <c r="BP42" s="1" t="str">
        <f>IF(DAY_SCH!A40="","",DAY_SCH!A40)</f>
        <v/>
      </c>
    </row>
    <row r="43" spans="1:68">
      <c r="A43" s="9"/>
      <c r="B43" s="260"/>
      <c r="C43" s="76" t="e">
        <f>IF(AND(C39="Other",OR(D43=" ",D43="")),"Select Type →",IF(AND(NOT(C39="Other"),AND(NOT(D43=" "),NOT(D43=""))),"Deselect Type→",VLOOKUP(C39,$BL$6:$BM$19,2,0)))</f>
        <v>#N/A</v>
      </c>
      <c r="D43" s="280" t="s">
        <v>93</v>
      </c>
      <c r="E43" s="280"/>
      <c r="F43" s="267" t="s">
        <v>418</v>
      </c>
      <c r="G43" s="268" t="s">
        <v>93</v>
      </c>
      <c r="H43" s="268"/>
      <c r="I43" s="264"/>
      <c r="J43" s="267" t="str">
        <f t="shared" si="5"/>
        <v>SAT:</v>
      </c>
      <c r="K43" s="268" t="s">
        <v>93</v>
      </c>
      <c r="L43" s="268"/>
      <c r="M43" s="269"/>
      <c r="N43" s="267" t="s">
        <v>418</v>
      </c>
      <c r="O43" s="268" t="s">
        <v>93</v>
      </c>
      <c r="P43" s="268"/>
      <c r="Q43" s="269"/>
      <c r="R43" s="267" t="s">
        <v>419</v>
      </c>
      <c r="S43" s="270" t="s">
        <v>93</v>
      </c>
      <c r="T43" s="270"/>
      <c r="U43" s="243"/>
      <c r="W43" s="258" t="str">
        <f>IF(OR(AND(VLOOKUP(G34,D!$G$4:$I$17,2,0)=D!$H$13,H34=VLOOKUP(G34,D!$G$4:$I$17,3,0)),VLOOKUP(G34,D!$G$4:$I$17,2,0)&gt;D!$H$13),"",LOOKUP(D!$H$13,D!$H$4:$H$17,D!$G$4:$G$17))</f>
        <v>September</v>
      </c>
      <c r="X43" s="258" t="str">
        <f>IF(OR(AND(VLOOKUP(K34,D!$G$4:$I$17,2,0)=D!$H$13,L34=VLOOKUP(K34,D!$G$4:$I$17,3,0)),VLOOKUP(K34,D!$G$4:$I$17,2,0)&gt;D!$H$13),"",LOOKUP(D!$H$13,D!$H$4:$H$17,D!$G$4:$G$17))</f>
        <v>September</v>
      </c>
      <c r="Y43" s="258" t="e">
        <f>IF(OR(AND(VLOOKUP(O34,D!$G$4:$I$17,2,0)=D!$H$13,P34=VLOOKUP(O34,D!$G$4:$I$17,3,0)),VLOOKUP(O34,D!$G$4:$I$17,2,0)&gt;D!$H$13),"",LOOKUP(D!$H$13,D!$H$4:$H$17,D!$G$4:$G$17))</f>
        <v>#N/A</v>
      </c>
      <c r="Z43" s="258" t="e">
        <f>IF(OR(AND(VLOOKUP(S34,D!$G$4:$I$17,2,0)=D!$H$13,T34=VLOOKUP(S34,D!$G$4:$I$17,3,0)),VLOOKUP(S34,D!$G$4:$I$17,2,0)&gt;D!$H$13),"",LOOKUP(D!$H$13,D!$H$4:$H$17,D!$G$4:$G$17))</f>
        <v>#N/A</v>
      </c>
      <c r="AN43" s="273"/>
      <c r="AO43" s="273"/>
      <c r="AP43" s="273"/>
      <c r="AR43" s="273"/>
      <c r="AS43" s="273"/>
      <c r="AT43" s="273"/>
      <c r="AV43" s="273"/>
      <c r="AW43" s="273"/>
      <c r="AX43" s="273"/>
      <c r="AZ43" s="273"/>
      <c r="BA43" s="273"/>
      <c r="BB43" s="273"/>
      <c r="BC43" s="266"/>
      <c r="BD43" s="266"/>
      <c r="BE43" s="266"/>
      <c r="BF43" s="266"/>
      <c r="BP43" s="1" t="str">
        <f>IF(DAY_SCH!A41="","",DAY_SCH!A41)</f>
        <v/>
      </c>
    </row>
    <row r="44" spans="1:68">
      <c r="A44" s="9"/>
      <c r="B44" s="260"/>
      <c r="C44" s="76"/>
      <c r="D44" s="280"/>
      <c r="E44" s="280"/>
      <c r="F44" s="267" t="s">
        <v>421</v>
      </c>
      <c r="G44" s="268" t="s">
        <v>93</v>
      </c>
      <c r="H44" s="268"/>
      <c r="I44" s="264"/>
      <c r="J44" s="267" t="str">
        <f t="shared" si="5"/>
        <v>HOL:</v>
      </c>
      <c r="K44" s="268" t="s">
        <v>93</v>
      </c>
      <c r="L44" s="268"/>
      <c r="M44" s="269"/>
      <c r="N44" s="267" t="s">
        <v>421</v>
      </c>
      <c r="O44" s="268" t="s">
        <v>93</v>
      </c>
      <c r="P44" s="268"/>
      <c r="Q44" s="269"/>
      <c r="R44" s="267" t="s">
        <v>391</v>
      </c>
      <c r="S44" s="270" t="s">
        <v>93</v>
      </c>
      <c r="T44" s="270"/>
      <c r="U44" s="243" t="e">
        <f>VLOOKUP(C39,$BL$6:$BM$19,2,0)</f>
        <v>#N/A</v>
      </c>
      <c r="W44" s="258" t="str">
        <f>IF(OR(AND(VLOOKUP(G34,D!$G$4:$I$17,2,0)=D!$H$14,H34=VLOOKUP(G34,D!$G$4:$I$17,3,0)),VLOOKUP(G34,D!$G$4:$I$17,2,0)&gt;D!$H$14),"",LOOKUP(D!$H$14,D!$H$4:$H$17,D!$G$4:$G$17))</f>
        <v>October</v>
      </c>
      <c r="X44" s="258" t="str">
        <f>IF(OR(AND(VLOOKUP(K34,D!$G$4:$I$17,2,0)=D!$H$14,L34=VLOOKUP(K34,D!$G$4:$I$17,3,0)),VLOOKUP(K34,D!$G$4:$I$17,2,0)&gt;D!$H$14),"",LOOKUP(D!$H$14,D!$H$4:$H$17,D!$G$4:$G$17))</f>
        <v>October</v>
      </c>
      <c r="Y44" s="258" t="e">
        <f>IF(OR(AND(VLOOKUP(O34,D!$G$4:$I$17,2,0)=D!$H$14,P34=VLOOKUP(O34,D!$G$4:$I$17,3,0)),VLOOKUP(O34,D!$G$4:$I$17,2,0)&gt;D!$H$14),"",LOOKUP(D!$H$14,D!$H$4:$H$17,D!$G$4:$G$17))</f>
        <v>#N/A</v>
      </c>
      <c r="Z44" s="258" t="e">
        <f>IF(OR(AND(VLOOKUP(S34,D!$G$4:$I$17,2,0)=D!$H$14,T34=VLOOKUP(S34,D!$G$4:$I$17,3,0)),VLOOKUP(S34,D!$G$4:$I$17,2,0)&gt;D!$H$14),"",LOOKUP(D!$H$14,D!$H$4:$H$17,D!$G$4:$G$17))</f>
        <v>#N/A</v>
      </c>
      <c r="AN44" s="273"/>
      <c r="AO44" s="273"/>
      <c r="AP44" s="273"/>
      <c r="AR44" s="273"/>
      <c r="AS44" s="273"/>
      <c r="AT44" s="273"/>
      <c r="AV44" s="273"/>
      <c r="AW44" s="273"/>
      <c r="AX44" s="273"/>
      <c r="AZ44" s="273"/>
      <c r="BA44" s="273"/>
      <c r="BB44" s="273"/>
      <c r="BP44" s="1" t="str">
        <f>IF(DAY_SCH!A42="","",DAY_SCH!A42)</f>
        <v/>
      </c>
    </row>
    <row r="45" spans="1:68">
      <c r="A45" s="9"/>
      <c r="B45" s="260"/>
      <c r="C45" s="261" t="str">
        <f>IF(ISNA(VLOOKUP(C43,D!$C$4:$C$103,1,0)),"",IF(VLOOKUP(C43,D!$C$4:$C$203,1,0)="","","Schedules and Day Schedules can't have same name!"))</f>
        <v/>
      </c>
      <c r="D45" s="261"/>
      <c r="E45" s="261"/>
      <c r="F45" s="267" t="s">
        <v>424</v>
      </c>
      <c r="G45" s="268" t="s">
        <v>93</v>
      </c>
      <c r="H45" s="268"/>
      <c r="I45" s="264"/>
      <c r="J45" s="267" t="str">
        <f t="shared" si="5"/>
        <v>HDD:</v>
      </c>
      <c r="K45" s="268" t="s">
        <v>93</v>
      </c>
      <c r="L45" s="268"/>
      <c r="M45" s="269"/>
      <c r="N45" s="267" t="s">
        <v>424</v>
      </c>
      <c r="O45" s="268" t="s">
        <v>93</v>
      </c>
      <c r="P45" s="268"/>
      <c r="Q45" s="269"/>
      <c r="R45" s="267" t="s">
        <v>426</v>
      </c>
      <c r="S45" s="270" t="s">
        <v>93</v>
      </c>
      <c r="T45" s="270"/>
      <c r="U45" s="243"/>
      <c r="W45" s="258" t="str">
        <f>IF(OR(AND(VLOOKUP(G34,D!$G$4:$I$17,2,0)=D!$H$15,H34=VLOOKUP(G34,D!$G$4:$I$17,3,0)),VLOOKUP(G34,D!$G$4:$I$17,2,0)&gt;D!$H$15),"",LOOKUP(D!$H$15,D!$H$4:$H$17,D!$G$4:$G$17))</f>
        <v>November</v>
      </c>
      <c r="X45" s="258" t="str">
        <f>IF(OR(AND(VLOOKUP(K34,D!$G$4:$I$17,2,0)=D!$H$15,L34=VLOOKUP(K34,D!$G$4:$I$17,3,0)),VLOOKUP(K34,D!$G$4:$I$17,2,0)&gt;D!$H$15),"",LOOKUP(D!$H$15,D!$H$4:$H$17,D!$G$4:$G$17))</f>
        <v>November</v>
      </c>
      <c r="Y45" s="258" t="e">
        <f>IF(OR(AND(VLOOKUP(O34,D!$G$4:$I$17,2,0)=D!$H$15,P34=VLOOKUP(O34,D!$G$4:$I$17,3,0)),VLOOKUP(O34,D!$G$4:$I$17,2,0)&gt;D!$H$15),"",LOOKUP(D!$H$15,D!$H$4:$H$17,D!$G$4:$G$17))</f>
        <v>#N/A</v>
      </c>
      <c r="Z45" s="258" t="e">
        <f>IF(OR(AND(VLOOKUP(S34,D!$G$4:$I$17,2,0)=D!$H$15,T34=VLOOKUP(S34,D!$G$4:$I$17,3,0)),VLOOKUP(S34,D!$G$4:$I$17,2,0)&gt;D!$H$15),"",LOOKUP(D!$H$15,D!$H$4:$H$17,D!$G$4:$G$17))</f>
        <v>#N/A</v>
      </c>
      <c r="BP45" s="1" t="str">
        <f>IF(DAY_SCH!A43="","",DAY_SCH!A43)</f>
        <v/>
      </c>
    </row>
    <row r="46" spans="1:68">
      <c r="A46" s="9"/>
      <c r="B46" s="260"/>
      <c r="C46" s="261"/>
      <c r="D46" s="261"/>
      <c r="E46" s="261"/>
      <c r="F46" s="267" t="s">
        <v>429</v>
      </c>
      <c r="G46" s="268" t="s">
        <v>93</v>
      </c>
      <c r="H46" s="268"/>
      <c r="I46" s="269"/>
      <c r="J46" s="267" t="str">
        <f t="shared" si="5"/>
        <v>CDD:</v>
      </c>
      <c r="K46" s="268" t="s">
        <v>93</v>
      </c>
      <c r="L46" s="268"/>
      <c r="M46" s="269"/>
      <c r="N46" s="267" t="s">
        <v>429</v>
      </c>
      <c r="O46" s="268" t="s">
        <v>93</v>
      </c>
      <c r="P46" s="268"/>
      <c r="Q46" s="269"/>
      <c r="R46" s="267" t="s">
        <v>431</v>
      </c>
      <c r="S46" s="270" t="s">
        <v>93</v>
      </c>
      <c r="T46" s="270"/>
      <c r="U46" s="243"/>
      <c r="W46" s="258" t="str">
        <f>IF(OR(AND(VLOOKUP(G34,D!$G$4:$I$17,2,0)=D!$H$16,H34=VLOOKUP(G34,D!$G$4:$I$17,3,0)),VLOOKUP(G34,D!$G$4:$I$17,2,0)&gt;D!$H$16),"",LOOKUP(D!$H$16,D!$H$4:$H$17,D!$G$4:$G$17))</f>
        <v>December</v>
      </c>
      <c r="X46" s="258" t="str">
        <f>IF(OR(AND(VLOOKUP(K34,D!$G$4:$I$17,2,0)=D!$H$16,L34=VLOOKUP(K34,D!$G$4:$I$17,3,0)),VLOOKUP(K34,D!$G$4:$I$17,2,0)&gt;D!$H$16),"",LOOKUP(D!$H$16,D!$H$4:$H$17,D!$G$4:$G$17))</f>
        <v>December</v>
      </c>
      <c r="Y46" s="258" t="e">
        <f>IF(OR(AND(VLOOKUP(O34,D!$G$4:$I$17,2,0)=D!$H$16,P34=VLOOKUP(O34,D!$G$4:$I$17,3,0)),VLOOKUP(O34,D!$G$4:$I$17,2,0)&gt;D!$H$16),"",LOOKUP(D!$H$16,D!$H$4:$H$17,D!$G$4:$G$17))</f>
        <v>#N/A</v>
      </c>
      <c r="Z46" s="258" t="e">
        <f>IF(OR(AND(VLOOKUP(S34,D!$G$4:$I$17,2,0)=D!$H$16,T34=VLOOKUP(S34,D!$G$4:$I$17,3,0)),VLOOKUP(S34,D!$G$4:$I$17,2,0)&gt;D!$H$16),"",LOOKUP(D!$H$16,D!$H$4:$H$17,D!$G$4:$G$17))</f>
        <v>#N/A</v>
      </c>
      <c r="BP46" s="1" t="str">
        <f>IF(DAY_SCH!A44="","",DAY_SCH!A44)</f>
        <v/>
      </c>
    </row>
    <row r="47" spans="1:68">
      <c r="A47" s="9"/>
      <c r="B47" s="276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43"/>
      <c r="BP47" s="1" t="str">
        <f>IF(DAY_SCH!A45="","",DAY_SCH!A45)</f>
        <v/>
      </c>
    </row>
    <row r="48" spans="1:68">
      <c r="A48" s="9">
        <f>IF(C34="",A34+1,IF(OR(AND(G35="December",H35=31),AND(K35="December",L35=31),AND(O35="December",P35=31),AND(S35="December",T35=31)),A34+1,A34))</f>
        <v>4</v>
      </c>
      <c r="B48" s="277" t="s">
        <v>376</v>
      </c>
      <c r="C48" s="76"/>
      <c r="D48" s="76"/>
      <c r="E48" s="76"/>
      <c r="F48" s="249" t="s">
        <v>378</v>
      </c>
      <c r="G48" s="250" t="str">
        <f>IF(A34=A48,IF(VLOOKUP(S35,D!$G$5:$I$16,3,0)=T35,LOOKUP(VLOOKUP(S35,D!$G$4:$H$16,2,0)+1,D!$H$4:$H$16,D!$G$4:$G$16),S35),"January")</f>
        <v>January</v>
      </c>
      <c r="H48" s="251">
        <f>IF(A48=A34,IF(G48=" "," ",IF(G48=S35,T35+1,1)),1)</f>
        <v>1</v>
      </c>
      <c r="I48" s="251"/>
      <c r="J48" s="249" t="s">
        <v>378</v>
      </c>
      <c r="K48" s="252" t="str">
        <f>IF(AND(G49="December",H49=31)," ",IF(VLOOKUP(G49,D!$G$5:$I$16,3,0)=H49,LOOKUP(VLOOKUP(G49,D!$G$4:$H$16,2,0)+1,D!$H$4:$H$16,D!$G$4:$G$16),G49))</f>
        <v xml:space="preserve"> </v>
      </c>
      <c r="L48" s="251" t="str">
        <f>IF(K48=" "," ",IF(K48=G49,H49+1,1))</f>
        <v xml:space="preserve"> </v>
      </c>
      <c r="M48" s="251"/>
      <c r="N48" s="249" t="s">
        <v>378</v>
      </c>
      <c r="O48" s="250" t="e">
        <f>IF(OR(K49=" ",AND(K49="December",L49=31))," ",IF(VLOOKUP(K49,D!$G$5:$I$16,3,0)=L49,LOOKUP(VLOOKUP(K49,D!$G$4:$H$16,2,0)+1,D!$H$4:$H$16,D!$G$4:$G$16),K49))</f>
        <v>#N/A</v>
      </c>
      <c r="P48" s="251" t="e">
        <f>IF(O48=" "," ",IF(O48=K49,L49+1,1))</f>
        <v>#N/A</v>
      </c>
      <c r="Q48" s="251"/>
      <c r="R48" s="249" t="s">
        <v>378</v>
      </c>
      <c r="S48" s="250" t="e">
        <f>IF(OR(O49=" ",AND(O49="December",P49=31))," ",IF(VLOOKUP(O49,D!$G$5:$I$16,3,0)=P49,LOOKUP(VLOOKUP(O49,D!$G$4:$H$16,2,0)+1,D!$H$4:$H$16,D!$G$4:$G$16),O49))</f>
        <v>#N/A</v>
      </c>
      <c r="T48" s="251" t="e">
        <f>IF(S48=" "," ",IF(S48=O49,P49+1,1))</f>
        <v>#N/A</v>
      </c>
      <c r="U48" s="243"/>
      <c r="W48" s="1" t="str">
        <f>" "</f>
        <v xml:space="preserve"> </v>
      </c>
      <c r="X48" s="1" t="str">
        <f>" "</f>
        <v xml:space="preserve"> </v>
      </c>
      <c r="Y48" s="1" t="str">
        <f>" "</f>
        <v xml:space="preserve"> </v>
      </c>
      <c r="Z48" s="1" t="str">
        <f>" "</f>
        <v xml:space="preserve"> </v>
      </c>
      <c r="BP48" s="1" t="str">
        <f>IF(DAY_SCH!A46="","",DAY_SCH!A46)</f>
        <v/>
      </c>
    </row>
    <row r="49" spans="1:68" ht="28.5">
      <c r="A49" s="9"/>
      <c r="B49" s="278"/>
      <c r="C49" s="76"/>
      <c r="D49" s="76"/>
      <c r="E49" s="76"/>
      <c r="F49" s="255" t="s">
        <v>380</v>
      </c>
      <c r="G49" s="256" t="s">
        <v>384</v>
      </c>
      <c r="H49" s="257">
        <v>31</v>
      </c>
      <c r="I49" s="257"/>
      <c r="J49" s="255" t="s">
        <v>380</v>
      </c>
      <c r="K49" s="256" t="s">
        <v>93</v>
      </c>
      <c r="L49" s="257" t="s">
        <v>93</v>
      </c>
      <c r="M49" s="257"/>
      <c r="N49" s="255" t="s">
        <v>380</v>
      </c>
      <c r="O49" s="256" t="s">
        <v>93</v>
      </c>
      <c r="P49" s="257"/>
      <c r="Q49" s="257"/>
      <c r="R49" s="255" t="s">
        <v>380</v>
      </c>
      <c r="S49" s="256" t="s">
        <v>93</v>
      </c>
      <c r="T49" s="257"/>
      <c r="U49" s="243"/>
      <c r="W49" s="258"/>
      <c r="X49" s="258"/>
      <c r="Y49" s="258"/>
      <c r="Z49" s="258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P49" s="1" t="str">
        <f>IF(DAY_SCH!A47="","",DAY_SCH!A47)</f>
        <v/>
      </c>
    </row>
    <row r="50" spans="1:68">
      <c r="A50" s="9"/>
      <c r="B50" s="260"/>
      <c r="C50" s="261" t="str">
        <f>IF(ISNA(VLOOKUP(C48,$BP$6:$BP$206,1,0)),"",IF(VLOOKUP(C48,$BP$6:$BP$206,1,0)="","","Schedules and Day Schedules can't have same name!"))</f>
        <v/>
      </c>
      <c r="D50" s="261"/>
      <c r="E50" s="261"/>
      <c r="F50" s="262"/>
      <c r="G50" s="263" t="str">
        <f>IF(OR(H49&gt;VLOOKUP(G49,D!$G$4:$I$16,3,0),AND(G49=G48,H49&lt;=H48),VLOOKUP(G49,D!$G$4:$H$16,2,0)&lt;VLOOKUP(G48,D!$G$4:$H$16,2,0)),"Must correct date!","")</f>
        <v/>
      </c>
      <c r="H50" s="263"/>
      <c r="I50" s="264"/>
      <c r="J50" s="262"/>
      <c r="K50" s="263" t="e">
        <f>IF(AND(K49=" ",K48=" "),"",IF(OR(L49&gt;VLOOKUP(K49,D!$G$4:$I$16,3,0),AND(K49=K48,L49&lt;=L48),VLOOKUP(K49,D!$G$4:$H$16,2,0)&lt;VLOOKUP(K48,D!$G$4:$H$16,2,0)),"Must correct date!",""))</f>
        <v>#N/A</v>
      </c>
      <c r="L50" s="263"/>
      <c r="M50" s="264"/>
      <c r="N50" s="262"/>
      <c r="O50" s="263" t="e">
        <f>IF(AND(O49=" ",O48=" "),"",IF(OR(P49&gt;VLOOKUP(O49,D!$G$4:$I$16,3,0),AND(O49=O48,P49&lt;=P48),VLOOKUP(O49,D!$G$4:$H$16,2,0)&lt;VLOOKUP(O48,D!$G$4:$H$16,2,0)),"Must correct date!",""))</f>
        <v>#N/A</v>
      </c>
      <c r="P50" s="263"/>
      <c r="Q50" s="264"/>
      <c r="R50" s="262"/>
      <c r="S50" s="265" t="e">
        <f>IF(AND(S49=" ",S48=" "),"",IF(OR(T49&gt;VLOOKUP(S49,D!$G$4:$I$16,3,0),AND(S49=S48,T49&lt;=T48),VLOOKUP(S49,D!$G$4:$H$16,2,0)&lt;VLOOKUP(S48,D!$G$4:$H$16,2,0)),"Must correct date!",""))</f>
        <v>#N/A</v>
      </c>
      <c r="T50" s="265"/>
      <c r="U50" s="243"/>
      <c r="W50" s="258"/>
      <c r="X50" s="258"/>
      <c r="Y50" s="258"/>
      <c r="Z50" s="258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P50" s="1" t="str">
        <f>IF(DAY_SCH!A48="","",DAY_SCH!A48)</f>
        <v/>
      </c>
    </row>
    <row r="51" spans="1:68">
      <c r="A51" s="9"/>
      <c r="B51" s="260"/>
      <c r="C51" s="261"/>
      <c r="D51" s="261"/>
      <c r="E51" s="261"/>
      <c r="F51" s="267" t="s">
        <v>389</v>
      </c>
      <c r="G51" s="268" t="s">
        <v>93</v>
      </c>
      <c r="H51" s="268"/>
      <c r="I51" s="269"/>
      <c r="J51" s="267" t="str">
        <f t="shared" ref="J51:J60" si="6">$F51</f>
        <v>SUN:</v>
      </c>
      <c r="K51" s="268" t="s">
        <v>93</v>
      </c>
      <c r="L51" s="268"/>
      <c r="M51" s="269"/>
      <c r="N51" s="267" t="s">
        <v>389</v>
      </c>
      <c r="O51" s="268" t="s">
        <v>93</v>
      </c>
      <c r="P51" s="268"/>
      <c r="Q51" s="269"/>
      <c r="R51" s="267" t="s">
        <v>391</v>
      </c>
      <c r="S51" s="270" t="s">
        <v>93</v>
      </c>
      <c r="T51" s="270"/>
      <c r="U51" s="243"/>
      <c r="W51" s="258"/>
      <c r="X51" s="258"/>
      <c r="Y51" s="258"/>
      <c r="Z51" s="258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P51" s="1" t="str">
        <f>IF(DAY_SCH!A49="","",DAY_SCH!A49)</f>
        <v/>
      </c>
    </row>
    <row r="52" spans="1:68">
      <c r="A52" s="9"/>
      <c r="B52" s="260"/>
      <c r="C52" s="279" t="s">
        <v>395</v>
      </c>
      <c r="D52" s="262"/>
      <c r="E52" s="262"/>
      <c r="F52" s="267" t="s">
        <v>396</v>
      </c>
      <c r="G52" s="268" t="s">
        <v>93</v>
      </c>
      <c r="H52" s="268"/>
      <c r="I52" s="264"/>
      <c r="J52" s="267" t="str">
        <f t="shared" si="6"/>
        <v>MON:</v>
      </c>
      <c r="K52" s="268" t="s">
        <v>93</v>
      </c>
      <c r="L52" s="268"/>
      <c r="M52" s="269"/>
      <c r="N52" s="267" t="s">
        <v>396</v>
      </c>
      <c r="O52" s="268" t="s">
        <v>93</v>
      </c>
      <c r="P52" s="268"/>
      <c r="Q52" s="269"/>
      <c r="R52" s="267" t="s">
        <v>397</v>
      </c>
      <c r="S52" s="270" t="s">
        <v>93</v>
      </c>
      <c r="T52" s="270"/>
      <c r="U52" s="243"/>
      <c r="W52" s="258"/>
      <c r="X52" s="258"/>
      <c r="Y52" s="258"/>
      <c r="Z52" s="258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  <c r="BF52" s="253"/>
      <c r="BP52" s="1" t="str">
        <f>IF(DAY_SCH!A50="","",DAY_SCH!A50)</f>
        <v/>
      </c>
    </row>
    <row r="53" spans="1:68">
      <c r="A53" s="9"/>
      <c r="B53" s="260"/>
      <c r="C53" s="280" t="s">
        <v>93</v>
      </c>
      <c r="D53" s="280"/>
      <c r="E53" s="280"/>
      <c r="F53" s="267" t="s">
        <v>402</v>
      </c>
      <c r="G53" s="268" t="s">
        <v>93</v>
      </c>
      <c r="H53" s="268"/>
      <c r="I53" s="264"/>
      <c r="J53" s="267" t="str">
        <f t="shared" si="6"/>
        <v>TUE:</v>
      </c>
      <c r="K53" s="268" t="s">
        <v>93</v>
      </c>
      <c r="L53" s="268"/>
      <c r="M53" s="269"/>
      <c r="N53" s="267" t="s">
        <v>402</v>
      </c>
      <c r="O53" s="268" t="s">
        <v>93</v>
      </c>
      <c r="P53" s="268"/>
      <c r="Q53" s="269"/>
      <c r="R53" s="267" t="s">
        <v>403</v>
      </c>
      <c r="S53" s="270" t="s">
        <v>93</v>
      </c>
      <c r="T53" s="270"/>
      <c r="U53" s="243"/>
      <c r="W53" s="258"/>
      <c r="X53" s="258"/>
      <c r="Y53" s="258"/>
      <c r="Z53" s="258"/>
      <c r="AN53" s="273"/>
      <c r="AO53" s="273"/>
      <c r="AP53" s="273"/>
      <c r="AR53" s="273"/>
      <c r="AS53" s="273"/>
      <c r="AT53" s="273"/>
      <c r="AV53" s="273"/>
      <c r="AW53" s="273"/>
      <c r="AX53" s="273"/>
      <c r="AZ53" s="273"/>
      <c r="BA53" s="273"/>
      <c r="BB53" s="273"/>
      <c r="BC53" s="266"/>
      <c r="BD53" s="266"/>
      <c r="BE53" s="266"/>
      <c r="BF53" s="266"/>
      <c r="BP53" s="1" t="str">
        <f>IF(DAY_SCH!A51="","",DAY_SCH!A51)</f>
        <v/>
      </c>
    </row>
    <row r="54" spans="1:68">
      <c r="A54" s="9"/>
      <c r="B54" s="260"/>
      <c r="C54" s="280"/>
      <c r="D54" s="280"/>
      <c r="E54" s="280"/>
      <c r="F54" s="267" t="s">
        <v>407</v>
      </c>
      <c r="G54" s="268" t="s">
        <v>93</v>
      </c>
      <c r="H54" s="268"/>
      <c r="I54" s="264"/>
      <c r="J54" s="267" t="str">
        <f t="shared" si="6"/>
        <v>WED:</v>
      </c>
      <c r="K54" s="268" t="s">
        <v>93</v>
      </c>
      <c r="L54" s="268"/>
      <c r="M54" s="269"/>
      <c r="N54" s="267" t="s">
        <v>407</v>
      </c>
      <c r="O54" s="268" t="s">
        <v>93</v>
      </c>
      <c r="P54" s="268"/>
      <c r="Q54" s="269"/>
      <c r="R54" s="267" t="s">
        <v>408</v>
      </c>
      <c r="S54" s="270" t="s">
        <v>93</v>
      </c>
      <c r="T54" s="270"/>
      <c r="U54" s="243"/>
      <c r="W54" s="258"/>
      <c r="X54" s="258"/>
      <c r="Y54" s="258"/>
      <c r="Z54" s="258"/>
      <c r="AN54" s="273"/>
      <c r="AO54" s="273"/>
      <c r="AP54" s="273"/>
      <c r="AR54" s="273"/>
      <c r="AS54" s="273"/>
      <c r="AT54" s="273"/>
      <c r="AV54" s="273"/>
      <c r="AW54" s="273"/>
      <c r="AX54" s="273"/>
      <c r="AZ54" s="273"/>
      <c r="BA54" s="273"/>
      <c r="BB54" s="273"/>
      <c r="BC54" s="266"/>
      <c r="BD54" s="266"/>
      <c r="BE54" s="266"/>
      <c r="BF54" s="266"/>
      <c r="BP54" s="1" t="str">
        <f>IF(DAY_SCH!A52="","",DAY_SCH!A52)</f>
        <v/>
      </c>
    </row>
    <row r="55" spans="1:68" ht="25.5">
      <c r="A55" s="9"/>
      <c r="B55" s="260"/>
      <c r="C55" s="281" t="s">
        <v>410</v>
      </c>
      <c r="D55" s="281"/>
      <c r="E55" s="262"/>
      <c r="F55" s="267" t="s">
        <v>411</v>
      </c>
      <c r="G55" s="268" t="s">
        <v>93</v>
      </c>
      <c r="H55" s="268"/>
      <c r="I55" s="264"/>
      <c r="J55" s="267" t="str">
        <f t="shared" si="6"/>
        <v>THU:</v>
      </c>
      <c r="K55" s="268" t="s">
        <v>93</v>
      </c>
      <c r="L55" s="268"/>
      <c r="M55" s="269"/>
      <c r="N55" s="267" t="s">
        <v>411</v>
      </c>
      <c r="O55" s="268" t="s">
        <v>93</v>
      </c>
      <c r="P55" s="268"/>
      <c r="Q55" s="269"/>
      <c r="R55" s="267" t="s">
        <v>412</v>
      </c>
      <c r="S55" s="270" t="s">
        <v>93</v>
      </c>
      <c r="T55" s="270"/>
      <c r="U55" s="243"/>
      <c r="W55" s="258"/>
      <c r="X55" s="258"/>
      <c r="Y55" s="258"/>
      <c r="Z55" s="258"/>
      <c r="AN55" s="273"/>
      <c r="AO55" s="273"/>
      <c r="AP55" s="273"/>
      <c r="AR55" s="273"/>
      <c r="AS55" s="273"/>
      <c r="AT55" s="273"/>
      <c r="AV55" s="273"/>
      <c r="AW55" s="273"/>
      <c r="AX55" s="273"/>
      <c r="AZ55" s="273"/>
      <c r="BA55" s="273"/>
      <c r="BB55" s="273"/>
      <c r="BC55" s="266"/>
      <c r="BD55" s="266"/>
      <c r="BE55" s="266"/>
      <c r="BF55" s="266"/>
      <c r="BP55" s="1" t="str">
        <f>IF(DAY_SCH!A53="","",DAY_SCH!A53)</f>
        <v/>
      </c>
    </row>
    <row r="56" spans="1:68">
      <c r="A56" s="9"/>
      <c r="B56" s="260"/>
      <c r="C56" s="281"/>
      <c r="D56" s="281"/>
      <c r="E56" s="262"/>
      <c r="F56" s="267" t="s">
        <v>414</v>
      </c>
      <c r="G56" s="268" t="s">
        <v>93</v>
      </c>
      <c r="H56" s="268"/>
      <c r="I56" s="264"/>
      <c r="J56" s="267" t="str">
        <f t="shared" si="6"/>
        <v>FRI:</v>
      </c>
      <c r="K56" s="268" t="s">
        <v>93</v>
      </c>
      <c r="L56" s="268"/>
      <c r="M56" s="269"/>
      <c r="N56" s="267" t="s">
        <v>414</v>
      </c>
      <c r="O56" s="268" t="s">
        <v>93</v>
      </c>
      <c r="P56" s="268"/>
      <c r="Q56" s="269"/>
      <c r="R56" s="267" t="s">
        <v>415</v>
      </c>
      <c r="S56" s="270" t="s">
        <v>93</v>
      </c>
      <c r="T56" s="270"/>
      <c r="U56" s="243"/>
      <c r="W56" s="258"/>
      <c r="X56" s="258"/>
      <c r="Y56" s="258"/>
      <c r="Z56" s="258"/>
      <c r="AN56" s="273"/>
      <c r="AO56" s="273"/>
      <c r="AP56" s="273"/>
      <c r="AR56" s="273"/>
      <c r="AS56" s="273"/>
      <c r="AT56" s="273"/>
      <c r="AV56" s="273"/>
      <c r="AW56" s="273"/>
      <c r="AX56" s="273"/>
      <c r="AZ56" s="273"/>
      <c r="BA56" s="273"/>
      <c r="BB56" s="273"/>
      <c r="BC56" s="266"/>
      <c r="BD56" s="266"/>
      <c r="BE56" s="266"/>
      <c r="BF56" s="266"/>
      <c r="BP56" s="1" t="str">
        <f>IF(DAY_SCH!A54="","",DAY_SCH!A54)</f>
        <v/>
      </c>
    </row>
    <row r="57" spans="1:68">
      <c r="A57" s="9"/>
      <c r="B57" s="260"/>
      <c r="C57" s="76" t="e">
        <f>IF(AND(C53="Other",OR(D57=" ",D57="")),"Select Type →",IF(AND(NOT(C53="Other"),AND(NOT(D57=" "),NOT(D57=""))),"Deselect Type→",VLOOKUP(C53,$BL$6:$BM$19,2,0)))</f>
        <v>#N/A</v>
      </c>
      <c r="D57" s="280" t="s">
        <v>93</v>
      </c>
      <c r="E57" s="280"/>
      <c r="F57" s="267" t="s">
        <v>418</v>
      </c>
      <c r="G57" s="268" t="s">
        <v>93</v>
      </c>
      <c r="H57" s="268"/>
      <c r="I57" s="264"/>
      <c r="J57" s="267" t="str">
        <f t="shared" si="6"/>
        <v>SAT:</v>
      </c>
      <c r="K57" s="268" t="s">
        <v>93</v>
      </c>
      <c r="L57" s="268"/>
      <c r="M57" s="269"/>
      <c r="N57" s="267" t="s">
        <v>418</v>
      </c>
      <c r="O57" s="268" t="s">
        <v>93</v>
      </c>
      <c r="P57" s="268"/>
      <c r="Q57" s="269"/>
      <c r="R57" s="267" t="s">
        <v>419</v>
      </c>
      <c r="S57" s="270" t="s">
        <v>93</v>
      </c>
      <c r="T57" s="270"/>
      <c r="U57" s="243"/>
      <c r="W57" s="258"/>
      <c r="X57" s="258"/>
      <c r="Y57" s="258"/>
      <c r="Z57" s="258"/>
      <c r="AN57" s="273"/>
      <c r="AO57" s="273"/>
      <c r="AP57" s="273"/>
      <c r="AR57" s="273"/>
      <c r="AS57" s="273"/>
      <c r="AT57" s="273"/>
      <c r="AV57" s="273"/>
      <c r="AW57" s="273"/>
      <c r="AX57" s="273"/>
      <c r="AZ57" s="273"/>
      <c r="BA57" s="273"/>
      <c r="BB57" s="273"/>
      <c r="BC57" s="266"/>
      <c r="BD57" s="266"/>
      <c r="BE57" s="266"/>
      <c r="BF57" s="266"/>
      <c r="BP57" s="1" t="str">
        <f>IF(DAY_SCH!A55="","",DAY_SCH!A55)</f>
        <v/>
      </c>
    </row>
    <row r="58" spans="1:68">
      <c r="A58" s="9"/>
      <c r="B58" s="260"/>
      <c r="C58" s="76"/>
      <c r="D58" s="280"/>
      <c r="E58" s="280"/>
      <c r="F58" s="267" t="s">
        <v>421</v>
      </c>
      <c r="G58" s="268" t="s">
        <v>93</v>
      </c>
      <c r="H58" s="268"/>
      <c r="I58" s="264"/>
      <c r="J58" s="267" t="str">
        <f t="shared" si="6"/>
        <v>HOL:</v>
      </c>
      <c r="K58" s="268" t="s">
        <v>93</v>
      </c>
      <c r="L58" s="268"/>
      <c r="M58" s="269"/>
      <c r="N58" s="267" t="s">
        <v>421</v>
      </c>
      <c r="O58" s="268" t="s">
        <v>93</v>
      </c>
      <c r="P58" s="268"/>
      <c r="Q58" s="269"/>
      <c r="R58" s="267" t="s">
        <v>391</v>
      </c>
      <c r="S58" s="270" t="s">
        <v>93</v>
      </c>
      <c r="T58" s="270"/>
      <c r="U58" s="243" t="e">
        <f>VLOOKUP(C53,$BL$6:$BM$19,2,0)</f>
        <v>#N/A</v>
      </c>
      <c r="W58" s="258"/>
      <c r="X58" s="258"/>
      <c r="Y58" s="258"/>
      <c r="Z58" s="258"/>
      <c r="AN58" s="273"/>
      <c r="AO58" s="273"/>
      <c r="AP58" s="273"/>
      <c r="AR58" s="273"/>
      <c r="AS58" s="273"/>
      <c r="AT58" s="273"/>
      <c r="AV58" s="273"/>
      <c r="AW58" s="273"/>
      <c r="AX58" s="273"/>
      <c r="AZ58" s="273"/>
      <c r="BA58" s="273"/>
      <c r="BB58" s="273"/>
      <c r="BP58" s="1" t="str">
        <f>IF(DAY_SCH!A56="","",DAY_SCH!A56)</f>
        <v/>
      </c>
    </row>
    <row r="59" spans="1:68">
      <c r="A59" s="9"/>
      <c r="B59" s="260"/>
      <c r="C59" s="261" t="str">
        <f>IF(ISNA(VLOOKUP(C57,D!$C$4:$C$103,1,0)),"",IF(VLOOKUP(C57,D!$C$4:$C$203,1,0)="","","Schedules and Day Schedules can't have same name!"))</f>
        <v/>
      </c>
      <c r="D59" s="261"/>
      <c r="E59" s="261"/>
      <c r="F59" s="267" t="s">
        <v>424</v>
      </c>
      <c r="G59" s="268" t="s">
        <v>93</v>
      </c>
      <c r="H59" s="268"/>
      <c r="I59" s="264"/>
      <c r="J59" s="267" t="str">
        <f t="shared" si="6"/>
        <v>HDD:</v>
      </c>
      <c r="K59" s="268" t="s">
        <v>93</v>
      </c>
      <c r="L59" s="268"/>
      <c r="M59" s="269"/>
      <c r="N59" s="267" t="s">
        <v>424</v>
      </c>
      <c r="O59" s="268" t="s">
        <v>93</v>
      </c>
      <c r="P59" s="268"/>
      <c r="Q59" s="269"/>
      <c r="R59" s="267" t="s">
        <v>426</v>
      </c>
      <c r="S59" s="270" t="s">
        <v>93</v>
      </c>
      <c r="T59" s="270"/>
      <c r="U59" s="243"/>
      <c r="W59" s="258"/>
      <c r="X59" s="258"/>
      <c r="Y59" s="258"/>
      <c r="Z59" s="258"/>
      <c r="BP59" s="1" t="str">
        <f>IF(DAY_SCH!A57="","",DAY_SCH!A57)</f>
        <v/>
      </c>
    </row>
    <row r="60" spans="1:68">
      <c r="A60" s="9"/>
      <c r="B60" s="260"/>
      <c r="C60" s="261"/>
      <c r="D60" s="261"/>
      <c r="E60" s="261"/>
      <c r="F60" s="267" t="s">
        <v>429</v>
      </c>
      <c r="G60" s="268" t="s">
        <v>93</v>
      </c>
      <c r="H60" s="268"/>
      <c r="I60" s="269"/>
      <c r="J60" s="267" t="str">
        <f t="shared" si="6"/>
        <v>CDD:</v>
      </c>
      <c r="K60" s="268" t="s">
        <v>93</v>
      </c>
      <c r="L60" s="268"/>
      <c r="M60" s="269"/>
      <c r="N60" s="267" t="s">
        <v>429</v>
      </c>
      <c r="O60" s="268" t="s">
        <v>93</v>
      </c>
      <c r="P60" s="268"/>
      <c r="Q60" s="269"/>
      <c r="R60" s="267" t="s">
        <v>431</v>
      </c>
      <c r="S60" s="270" t="s">
        <v>93</v>
      </c>
      <c r="T60" s="270"/>
      <c r="U60" s="243"/>
      <c r="W60" s="258"/>
      <c r="X60" s="258"/>
      <c r="Y60" s="258"/>
      <c r="Z60" s="258"/>
      <c r="BP60" s="1" t="str">
        <f>IF(DAY_SCH!A58="","",DAY_SCH!A58)</f>
        <v/>
      </c>
    </row>
    <row r="61" spans="1:68">
      <c r="A61" s="9"/>
      <c r="B61" s="276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276"/>
      <c r="O61" s="276"/>
      <c r="P61" s="276"/>
      <c r="Q61" s="276"/>
      <c r="R61" s="276"/>
      <c r="S61" s="276"/>
      <c r="T61" s="276"/>
      <c r="U61" s="243"/>
      <c r="BP61" s="1" t="str">
        <f>IF(DAY_SCH!A59="","",DAY_SCH!A59)</f>
        <v/>
      </c>
    </row>
    <row r="62" spans="1:68">
      <c r="A62" s="9">
        <f>IF(C48="",A48+1,IF(OR(AND(G49="December",H49=31),AND(K49="December",L49=31),AND(O49="December",P49=31),AND(S49="December",T49=31)),A48+1,A48))</f>
        <v>5</v>
      </c>
      <c r="B62" s="282" t="s">
        <v>376</v>
      </c>
      <c r="C62" s="283"/>
      <c r="D62" s="283"/>
      <c r="E62" s="283"/>
      <c r="F62" s="249" t="s">
        <v>378</v>
      </c>
      <c r="G62" s="250" t="s">
        <v>379</v>
      </c>
      <c r="H62" s="251">
        <v>1</v>
      </c>
      <c r="I62" s="251"/>
      <c r="J62" s="249" t="s">
        <v>378</v>
      </c>
      <c r="K62" s="252" t="str">
        <f>IF(AND(G63="December",H63=31)," ",IF(VLOOKUP(G63,D!$G$5:$I$16,3,0)=H63,LOOKUP(VLOOKUP(G63,D!$G$4:$H$16,2,0)+1,D!$H$4:$H$16,D!$G$4:$G$16),G63))</f>
        <v>April</v>
      </c>
      <c r="L62" s="251">
        <f>IF(K62=" "," ",IF(K62=G63,H63+1,1))</f>
        <v>26</v>
      </c>
      <c r="M62" s="251"/>
      <c r="N62" s="249" t="s">
        <v>378</v>
      </c>
      <c r="O62" s="250" t="str">
        <f>IF(OR(K63=" ",AND(K63="December",L63=31))," ",IF(VLOOKUP(K63,D!$G$5:$I$16,3,0)=L63,LOOKUP(VLOOKUP(K63,D!$G$4:$H$16,2,0)+1,D!$H$4:$H$16,D!$G$4:$G$16),K63))</f>
        <v>June</v>
      </c>
      <c r="P62" s="251">
        <f>IF(O62=" "," ",IF(O62=K63,L63+1,1))</f>
        <v>1</v>
      </c>
      <c r="Q62" s="251"/>
      <c r="R62" s="249" t="s">
        <v>378</v>
      </c>
      <c r="S62" s="250" t="str">
        <f>IF(OR(O63=" ",AND(O63="December",P63=31))," ",IF(VLOOKUP(O63,D!$G$5:$I$16,3,0)=P63,LOOKUP(VLOOKUP(O63,D!$G$4:$H$16,2,0)+1,D!$H$4:$H$16,D!$G$4:$G$16),O63))</f>
        <v>August</v>
      </c>
      <c r="T62" s="251">
        <f>IF(S62=" "," ",IF(S62=O63,P63+1,1))</f>
        <v>1</v>
      </c>
      <c r="U62" s="243"/>
      <c r="BP62" s="1" t="str">
        <f>IF(DAY_SCH!A60="","",DAY_SCH!A60)</f>
        <v/>
      </c>
    </row>
    <row r="63" spans="1:68" ht="28.5">
      <c r="A63" s="9"/>
      <c r="B63" s="282"/>
      <c r="C63" s="283"/>
      <c r="D63" s="283"/>
      <c r="E63" s="283"/>
      <c r="F63" s="255" t="s">
        <v>380</v>
      </c>
      <c r="G63" s="256" t="s">
        <v>382</v>
      </c>
      <c r="H63" s="257">
        <v>25</v>
      </c>
      <c r="I63" s="257"/>
      <c r="J63" s="255" t="s">
        <v>380</v>
      </c>
      <c r="K63" s="256" t="s">
        <v>433</v>
      </c>
      <c r="L63" s="257">
        <v>31</v>
      </c>
      <c r="M63" s="257"/>
      <c r="N63" s="255" t="s">
        <v>380</v>
      </c>
      <c r="O63" s="256" t="s">
        <v>434</v>
      </c>
      <c r="P63" s="257">
        <v>31</v>
      </c>
      <c r="Q63" s="257"/>
      <c r="R63" s="255" t="s">
        <v>380</v>
      </c>
      <c r="S63" s="256" t="s">
        <v>384</v>
      </c>
      <c r="T63" s="257">
        <v>31</v>
      </c>
      <c r="U63" s="243"/>
      <c r="Y63" s="273"/>
      <c r="Z63" s="273"/>
      <c r="AC63" s="273"/>
      <c r="AD63" s="273"/>
      <c r="AG63" s="273"/>
      <c r="AH63" s="273"/>
      <c r="AK63" s="273"/>
      <c r="AL63" s="273"/>
      <c r="BP63" s="1" t="str">
        <f>IF(DAY_SCH!A61="","",DAY_SCH!A61)</f>
        <v/>
      </c>
    </row>
    <row r="64" spans="1:68">
      <c r="A64" s="9"/>
      <c r="B64" s="260"/>
      <c r="C64" s="261" t="str">
        <f>IF(ISNA(VLOOKUP(C62,D!$C$4:$C$103,1,0)),"","Schedules and Day Schedules can't have same name!")</f>
        <v/>
      </c>
      <c r="D64" s="261"/>
      <c r="E64" s="261"/>
      <c r="F64" s="262"/>
      <c r="G64" s="263" t="str">
        <f>IF(OR(H63&gt;VLOOKUP(G63,D!$G$4:$I$16,3,0),AND(G63=G62,H63&lt;=H62),VLOOKUP(G63,D!$G$4:$H$16,2,0)&lt;VLOOKUP(G62,D!$G$4:$H$16,2,0)),"Must correct date!","")</f>
        <v/>
      </c>
      <c r="H64" s="263"/>
      <c r="I64" s="264"/>
      <c r="J64" s="262"/>
      <c r="K64" s="263" t="str">
        <f>IF(AND(K63=" ",K62=" "),"",IF(OR(L63&gt;VLOOKUP(K63,D!$G$4:$I$16,3,0),AND(K63=K62,L63&lt;=L62),VLOOKUP(K63,D!$G$4:$H$16,2,0)&lt;VLOOKUP(K62,D!$G$4:$H$16,2,0)),"Must correct date!",""))</f>
        <v/>
      </c>
      <c r="L64" s="263"/>
      <c r="M64" s="264"/>
      <c r="N64" s="262"/>
      <c r="O64" s="263" t="str">
        <f>IF(AND(O63=" ",O62=" "),"",IF(OR(P63&gt;VLOOKUP(O63,D!$G$4:$I$16,3,0),AND(O63=O62,P63&lt;=P62),VLOOKUP(O63,D!$G$4:$H$16,2,0)&lt;VLOOKUP(O62,D!$G$4:$H$16,2,0)),"Must correct date!",""))</f>
        <v/>
      </c>
      <c r="P64" s="263"/>
      <c r="Q64" s="264"/>
      <c r="R64" s="262"/>
      <c r="S64" s="265" t="str">
        <f>IF(AND(S63=" ",S62=" "),"",IF(OR(T63&gt;VLOOKUP(S63,D!$G$4:$I$16,3,0),AND(S63=S62,T63&lt;=T62),VLOOKUP(S63,D!$G$4:$H$16,2,0)&lt;VLOOKUP(S62,D!$G$4:$H$16,2,0)),"Must correct date!",""))</f>
        <v/>
      </c>
      <c r="T64" s="265"/>
      <c r="U64" s="243"/>
      <c r="X64" s="273"/>
      <c r="Y64" s="273"/>
      <c r="Z64" s="273"/>
      <c r="AB64" s="273"/>
      <c r="AC64" s="273"/>
      <c r="AD64" s="273"/>
      <c r="AF64" s="273"/>
      <c r="AG64" s="273"/>
      <c r="AH64" s="273"/>
      <c r="AJ64" s="273"/>
      <c r="AK64" s="273"/>
      <c r="AL64" s="273"/>
      <c r="BP64" s="1" t="str">
        <f>IF(DAY_SCH!A62="","",DAY_SCH!A62)</f>
        <v/>
      </c>
    </row>
    <row r="65" spans="1:68">
      <c r="A65" s="9"/>
      <c r="B65" s="260"/>
      <c r="C65" s="261"/>
      <c r="D65" s="261"/>
      <c r="E65" s="261"/>
      <c r="F65" s="267" t="s">
        <v>389</v>
      </c>
      <c r="G65" s="268" t="s">
        <v>390</v>
      </c>
      <c r="H65" s="268"/>
      <c r="I65" s="269"/>
      <c r="J65" s="267" t="str">
        <f t="shared" ref="J65:J74" si="7">$F65</f>
        <v>SUN:</v>
      </c>
      <c r="K65" s="268"/>
      <c r="L65" s="268"/>
      <c r="M65" s="269"/>
      <c r="N65" s="267" t="s">
        <v>389</v>
      </c>
      <c r="O65" s="268"/>
      <c r="P65" s="268"/>
      <c r="Q65" s="269"/>
      <c r="R65" s="267" t="s">
        <v>391</v>
      </c>
      <c r="S65" s="284"/>
      <c r="T65" s="284"/>
      <c r="U65" s="243"/>
      <c r="X65" s="273"/>
      <c r="Y65" s="273"/>
      <c r="Z65" s="273"/>
      <c r="AB65" s="273"/>
      <c r="AC65" s="273"/>
      <c r="AD65" s="273"/>
      <c r="AF65" s="273"/>
      <c r="AG65" s="273"/>
      <c r="AH65" s="273"/>
      <c r="AJ65" s="273"/>
      <c r="AK65" s="273"/>
      <c r="AL65" s="273"/>
      <c r="BP65" s="1" t="str">
        <f>IF(DAY_SCH!A63="","",DAY_SCH!A63)</f>
        <v/>
      </c>
    </row>
    <row r="66" spans="1:68">
      <c r="A66" s="9"/>
      <c r="B66" s="260"/>
      <c r="C66" s="285" t="s">
        <v>395</v>
      </c>
      <c r="D66" s="262"/>
      <c r="E66" s="262"/>
      <c r="F66" s="267" t="s">
        <v>396</v>
      </c>
      <c r="G66" s="268" t="s">
        <v>390</v>
      </c>
      <c r="H66" s="268"/>
      <c r="I66" s="264"/>
      <c r="J66" s="267" t="str">
        <f t="shared" si="7"/>
        <v>MON:</v>
      </c>
      <c r="K66" s="268"/>
      <c r="L66" s="268"/>
      <c r="M66" s="269"/>
      <c r="N66" s="267" t="s">
        <v>396</v>
      </c>
      <c r="O66" s="268"/>
      <c r="P66" s="268"/>
      <c r="Q66" s="269"/>
      <c r="R66" s="267" t="s">
        <v>397</v>
      </c>
      <c r="S66" s="284"/>
      <c r="T66" s="284"/>
      <c r="U66" s="243"/>
      <c r="X66" s="273"/>
      <c r="Y66" s="273"/>
      <c r="Z66" s="273"/>
      <c r="AB66" s="273"/>
      <c r="AC66" s="273"/>
      <c r="AD66" s="273"/>
      <c r="AF66" s="273"/>
      <c r="AG66" s="273"/>
      <c r="AH66" s="273"/>
      <c r="AJ66" s="273"/>
      <c r="AK66" s="273"/>
      <c r="AL66" s="273"/>
      <c r="BP66" s="1" t="str">
        <f>IF(DAY_SCH!A64="","",DAY_SCH!A64)</f>
        <v/>
      </c>
    </row>
    <row r="67" spans="1:68">
      <c r="A67" s="9"/>
      <c r="B67" s="260"/>
      <c r="C67" s="286" t="s">
        <v>420</v>
      </c>
      <c r="D67" s="262"/>
      <c r="E67" s="262"/>
      <c r="F67" s="267" t="s">
        <v>402</v>
      </c>
      <c r="G67" s="268" t="s">
        <v>390</v>
      </c>
      <c r="H67" s="268"/>
      <c r="I67" s="264"/>
      <c r="J67" s="267" t="str">
        <f t="shared" si="7"/>
        <v>TUE:</v>
      </c>
      <c r="K67" s="268"/>
      <c r="L67" s="268"/>
      <c r="M67" s="269"/>
      <c r="N67" s="267" t="s">
        <v>402</v>
      </c>
      <c r="O67" s="268"/>
      <c r="P67" s="268"/>
      <c r="Q67" s="269"/>
      <c r="R67" s="267" t="s">
        <v>403</v>
      </c>
      <c r="S67" s="284"/>
      <c r="T67" s="284"/>
      <c r="U67" s="243"/>
      <c r="X67" s="273"/>
      <c r="Y67" s="273"/>
      <c r="Z67" s="273"/>
      <c r="AB67" s="273"/>
      <c r="AC67" s="273"/>
      <c r="AD67" s="273"/>
      <c r="AF67" s="273"/>
      <c r="AG67" s="273"/>
      <c r="AH67" s="273"/>
      <c r="AJ67" s="273"/>
      <c r="AK67" s="273"/>
      <c r="AL67" s="273"/>
      <c r="BP67" s="1" t="str">
        <f>IF(DAY_SCH!A65="","",DAY_SCH!A65)</f>
        <v/>
      </c>
    </row>
    <row r="68" spans="1:68">
      <c r="A68" s="9"/>
      <c r="B68" s="260"/>
      <c r="C68" s="286"/>
      <c r="D68" s="262"/>
      <c r="E68" s="262"/>
      <c r="F68" s="267" t="s">
        <v>407</v>
      </c>
      <c r="G68" s="268" t="s">
        <v>390</v>
      </c>
      <c r="H68" s="268"/>
      <c r="I68" s="264"/>
      <c r="J68" s="267" t="str">
        <f t="shared" si="7"/>
        <v>WED:</v>
      </c>
      <c r="K68" s="268"/>
      <c r="L68" s="268"/>
      <c r="M68" s="269"/>
      <c r="N68" s="267" t="s">
        <v>407</v>
      </c>
      <c r="O68" s="268"/>
      <c r="P68" s="268"/>
      <c r="Q68" s="269"/>
      <c r="R68" s="267" t="s">
        <v>408</v>
      </c>
      <c r="S68" s="284"/>
      <c r="T68" s="284"/>
      <c r="U68" s="243"/>
      <c r="X68" s="273"/>
      <c r="Y68" s="273"/>
      <c r="Z68" s="273"/>
      <c r="AB68" s="273"/>
      <c r="AC68" s="273"/>
      <c r="AD68" s="273"/>
      <c r="AF68" s="273"/>
      <c r="AG68" s="273"/>
      <c r="AH68" s="273"/>
      <c r="AJ68" s="273"/>
      <c r="AK68" s="273"/>
      <c r="AL68" s="273"/>
      <c r="BP68" s="1" t="str">
        <f>IF(DAY_SCH!A66="","",DAY_SCH!A66)</f>
        <v/>
      </c>
    </row>
    <row r="69" spans="1:68" ht="24">
      <c r="A69" s="9"/>
      <c r="B69" s="260"/>
      <c r="C69" s="274" t="s">
        <v>410</v>
      </c>
      <c r="D69" s="262"/>
      <c r="E69" s="262"/>
      <c r="F69" s="267" t="s">
        <v>411</v>
      </c>
      <c r="G69" s="268" t="s">
        <v>390</v>
      </c>
      <c r="H69" s="268"/>
      <c r="I69" s="264"/>
      <c r="J69" s="267" t="str">
        <f t="shared" si="7"/>
        <v>THU:</v>
      </c>
      <c r="K69" s="268"/>
      <c r="L69" s="268"/>
      <c r="M69" s="269"/>
      <c r="N69" s="267" t="s">
        <v>411</v>
      </c>
      <c r="O69" s="268"/>
      <c r="P69" s="268"/>
      <c r="Q69" s="269"/>
      <c r="R69" s="267" t="s">
        <v>412</v>
      </c>
      <c r="S69" s="284"/>
      <c r="T69" s="284"/>
      <c r="U69" s="243"/>
      <c r="X69" s="273"/>
      <c r="Y69" s="273"/>
      <c r="Z69" s="273"/>
      <c r="AB69" s="273"/>
      <c r="AC69" s="273"/>
      <c r="AD69" s="273"/>
      <c r="AF69" s="273"/>
      <c r="AG69" s="273"/>
      <c r="AH69" s="273"/>
      <c r="AJ69" s="273"/>
      <c r="AK69" s="273"/>
      <c r="AL69" s="273"/>
      <c r="BP69" s="1" t="str">
        <f>IF(DAY_SCH!A67="","",DAY_SCH!A67)</f>
        <v/>
      </c>
    </row>
    <row r="70" spans="1:68">
      <c r="A70" s="9"/>
      <c r="B70" s="260"/>
      <c r="C70" s="274"/>
      <c r="D70" s="262"/>
      <c r="E70" s="262"/>
      <c r="F70" s="267" t="s">
        <v>414</v>
      </c>
      <c r="G70" s="268" t="s">
        <v>390</v>
      </c>
      <c r="H70" s="268"/>
      <c r="I70" s="264"/>
      <c r="J70" s="267" t="str">
        <f t="shared" si="7"/>
        <v>FRI:</v>
      </c>
      <c r="K70" s="268"/>
      <c r="L70" s="268"/>
      <c r="M70" s="269"/>
      <c r="N70" s="267" t="s">
        <v>414</v>
      </c>
      <c r="O70" s="268"/>
      <c r="P70" s="268"/>
      <c r="Q70" s="269"/>
      <c r="R70" s="267" t="s">
        <v>415</v>
      </c>
      <c r="S70" s="284"/>
      <c r="T70" s="284"/>
      <c r="U70" s="243"/>
      <c r="X70" s="273"/>
      <c r="Y70" s="273"/>
      <c r="Z70" s="273"/>
      <c r="AB70" s="273"/>
      <c r="AC70" s="273"/>
      <c r="AD70" s="273"/>
      <c r="AF70" s="273"/>
      <c r="AG70" s="273"/>
      <c r="AH70" s="273"/>
      <c r="AJ70" s="273"/>
      <c r="AK70" s="273"/>
      <c r="AL70" s="273"/>
      <c r="BP70" s="1" t="str">
        <f>IF(DAY_SCH!A68="","",DAY_SCH!A68)</f>
        <v/>
      </c>
    </row>
    <row r="71" spans="1:68">
      <c r="A71" s="9"/>
      <c r="B71" s="260"/>
      <c r="C71" s="238" t="str">
        <f>IF(AND(C67="Other",OR(D71=" ",D71="")),"Select Type →",IF(AND(NOT(C67="Other"),AND(NOT(D71=" "),NOT(D71=""))),"Deselect Type→",VLOOKUP(C67,$BL$6:$BM$19,2,0)))</f>
        <v>Fraction</v>
      </c>
      <c r="D71" s="275"/>
      <c r="E71" s="275"/>
      <c r="F71" s="267" t="s">
        <v>418</v>
      </c>
      <c r="G71" s="268" t="s">
        <v>390</v>
      </c>
      <c r="H71" s="268"/>
      <c r="I71" s="264"/>
      <c r="J71" s="267" t="str">
        <f t="shared" si="7"/>
        <v>SAT:</v>
      </c>
      <c r="K71" s="268"/>
      <c r="L71" s="268"/>
      <c r="M71" s="269"/>
      <c r="N71" s="267" t="s">
        <v>418</v>
      </c>
      <c r="O71" s="268"/>
      <c r="P71" s="268"/>
      <c r="Q71" s="269"/>
      <c r="R71" s="267" t="s">
        <v>419</v>
      </c>
      <c r="S71" s="284"/>
      <c r="T71" s="284"/>
      <c r="U71" s="243"/>
      <c r="X71" s="273"/>
      <c r="Y71" s="273"/>
      <c r="Z71" s="273"/>
      <c r="AB71" s="273"/>
      <c r="AC71" s="273"/>
      <c r="AD71" s="273"/>
      <c r="AF71" s="273"/>
      <c r="AG71" s="273"/>
      <c r="AH71" s="273"/>
      <c r="AJ71" s="273"/>
      <c r="AK71" s="273"/>
      <c r="AL71" s="273"/>
      <c r="BP71" s="1" t="str">
        <f>IF(DAY_SCH!A69="","",DAY_SCH!A69)</f>
        <v/>
      </c>
    </row>
    <row r="72" spans="1:68">
      <c r="A72" s="9"/>
      <c r="B72" s="260"/>
      <c r="C72" s="238"/>
      <c r="D72" s="275"/>
      <c r="E72" s="275"/>
      <c r="F72" s="267" t="s">
        <v>421</v>
      </c>
      <c r="G72" s="268" t="s">
        <v>390</v>
      </c>
      <c r="H72" s="268"/>
      <c r="I72" s="264"/>
      <c r="J72" s="267" t="str">
        <f t="shared" si="7"/>
        <v>HOL:</v>
      </c>
      <c r="K72" s="268"/>
      <c r="L72" s="268"/>
      <c r="M72" s="269"/>
      <c r="N72" s="267" t="s">
        <v>421</v>
      </c>
      <c r="O72" s="268"/>
      <c r="P72" s="268"/>
      <c r="Q72" s="269"/>
      <c r="R72" s="267" t="s">
        <v>391</v>
      </c>
      <c r="S72" s="284"/>
      <c r="T72" s="284"/>
      <c r="U72" s="243"/>
      <c r="X72" s="273"/>
      <c r="Y72" s="273"/>
      <c r="Z72" s="273"/>
      <c r="AB72" s="273"/>
      <c r="AC72" s="273"/>
      <c r="AD72" s="273"/>
      <c r="AF72" s="273"/>
      <c r="AG72" s="273"/>
      <c r="AH72" s="273"/>
      <c r="AJ72" s="273"/>
      <c r="AK72" s="273"/>
      <c r="AL72" s="273"/>
      <c r="BP72" s="1" t="str">
        <f>IF(DAY_SCH!A70="","",DAY_SCH!A70)</f>
        <v/>
      </c>
    </row>
    <row r="73" spans="1:68">
      <c r="A73" s="9"/>
      <c r="B73" s="260"/>
      <c r="C73" s="261" t="str">
        <f>IF(ISNA(VLOOKUP(C71,D!$C$4:$C$103,1,0)),"",IF(VLOOKUP(C71,D!$C$4:$C$203,1,0)="","","Schedules and Day Schedules can't have same name!"))</f>
        <v/>
      </c>
      <c r="D73" s="261"/>
      <c r="E73" s="261"/>
      <c r="F73" s="267" t="s">
        <v>424</v>
      </c>
      <c r="G73" s="268" t="s">
        <v>425</v>
      </c>
      <c r="H73" s="268"/>
      <c r="I73" s="264"/>
      <c r="J73" s="267" t="str">
        <f t="shared" si="7"/>
        <v>HDD:</v>
      </c>
      <c r="K73" s="268"/>
      <c r="L73" s="268"/>
      <c r="M73" s="269"/>
      <c r="N73" s="267" t="s">
        <v>424</v>
      </c>
      <c r="O73" s="268"/>
      <c r="P73" s="268"/>
      <c r="Q73" s="269"/>
      <c r="R73" s="267" t="s">
        <v>426</v>
      </c>
      <c r="S73" s="284"/>
      <c r="T73" s="284"/>
      <c r="U73" s="243"/>
      <c r="X73" s="273"/>
      <c r="AB73" s="273"/>
      <c r="AF73" s="273"/>
      <c r="AJ73" s="273"/>
      <c r="BP73" s="1" t="str">
        <f>IF(DAY_SCH!A71="","",DAY_SCH!A71)</f>
        <v/>
      </c>
    </row>
    <row r="74" spans="1:68">
      <c r="A74" s="9"/>
      <c r="B74" s="260"/>
      <c r="C74" s="261"/>
      <c r="D74" s="261"/>
      <c r="E74" s="261"/>
      <c r="F74" s="267" t="s">
        <v>429</v>
      </c>
      <c r="G74" s="268" t="s">
        <v>430</v>
      </c>
      <c r="H74" s="268"/>
      <c r="I74" s="269"/>
      <c r="J74" s="267" t="str">
        <f t="shared" si="7"/>
        <v>CDD:</v>
      </c>
      <c r="K74" s="268"/>
      <c r="L74" s="268"/>
      <c r="M74" s="269"/>
      <c r="N74" s="267" t="s">
        <v>429</v>
      </c>
      <c r="O74" s="268"/>
      <c r="P74" s="268"/>
      <c r="Q74" s="269"/>
      <c r="R74" s="267" t="s">
        <v>431</v>
      </c>
      <c r="S74" s="284"/>
      <c r="T74" s="284"/>
      <c r="U74" s="243"/>
      <c r="BP74" s="1" t="str">
        <f>IF(DAY_SCH!A72="","",DAY_SCH!A72)</f>
        <v/>
      </c>
    </row>
    <row r="75" spans="1:68">
      <c r="A75" s="9"/>
      <c r="B75" s="276"/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276"/>
      <c r="O75" s="276"/>
      <c r="P75" s="276"/>
      <c r="Q75" s="276"/>
      <c r="R75" s="276"/>
      <c r="S75" s="276"/>
      <c r="T75" s="276"/>
      <c r="U75" s="243"/>
      <c r="BP75" s="1" t="str">
        <f>IF(DAY_SCH!A73="","",DAY_SCH!A73)</f>
        <v/>
      </c>
    </row>
    <row r="76" spans="1:68">
      <c r="A76" s="9">
        <f>IF(C62="",A62+1,IF(OR(AND(G63="December",H63=31),AND(K63="December",L63=31),AND(O63="December",P63=31),AND(S63="December",T63=31)),A62+1,A62))</f>
        <v>6</v>
      </c>
      <c r="B76" s="282" t="s">
        <v>376</v>
      </c>
      <c r="C76" s="283" t="s">
        <v>377</v>
      </c>
      <c r="D76" s="283"/>
      <c r="E76" s="283"/>
      <c r="F76" s="249" t="s">
        <v>378</v>
      </c>
      <c r="G76" s="250" t="s">
        <v>379</v>
      </c>
      <c r="H76" s="251">
        <v>1</v>
      </c>
      <c r="I76" s="251"/>
      <c r="J76" s="249" t="s">
        <v>378</v>
      </c>
      <c r="K76" s="252" t="str">
        <f>IF(AND(G77="December",H77=31)," ",IF(VLOOKUP(G77,D!$G$5:$I$16,3,0)=H77,LOOKUP(VLOOKUP(G77,D!$G$4:$H$16,2,0)+1,D!$H$4:$H$16,D!$G$4:$G$16),G77))</f>
        <v>April</v>
      </c>
      <c r="L76" s="251">
        <f>IF(K76=" "," ",IF(K76=G77,H77+1,1))</f>
        <v>26</v>
      </c>
      <c r="M76" s="251"/>
      <c r="N76" s="249" t="s">
        <v>378</v>
      </c>
      <c r="O76" s="250" t="str">
        <f>IF(OR(K77=" ",AND(K77="December",L77=31))," ",IF(VLOOKUP(K77,D!$G$5:$I$16,3,0)=L77,LOOKUP(VLOOKUP(K77,D!$G$4:$H$16,2,0)+1,D!$H$4:$H$16,D!$G$4:$G$16),K77))</f>
        <v>June</v>
      </c>
      <c r="P76" s="251">
        <f>IF(O76=" "," ",IF(O76=K77,L77+1,1))</f>
        <v>1</v>
      </c>
      <c r="Q76" s="251"/>
      <c r="R76" s="249" t="s">
        <v>378</v>
      </c>
      <c r="S76" s="250" t="str">
        <f>IF(OR(O77=" ",AND(O77="December",P77=31))," ",IF(VLOOKUP(O77,D!$G$5:$I$16,3,0)=P77,LOOKUP(VLOOKUP(O77,D!$G$4:$H$16,2,0)+1,D!$H$4:$H$16,D!$G$4:$G$16),O77))</f>
        <v>August</v>
      </c>
      <c r="T76" s="251">
        <f>IF(S76=" "," ",IF(S76=O77,P77+1,1))</f>
        <v>1</v>
      </c>
      <c r="U76" s="243"/>
      <c r="BP76" s="1" t="str">
        <f>IF(DAY_SCH!A74="","",DAY_SCH!A74)</f>
        <v/>
      </c>
    </row>
    <row r="77" spans="1:68" ht="28.5">
      <c r="A77" s="9"/>
      <c r="B77" s="282"/>
      <c r="C77" s="283"/>
      <c r="D77" s="283"/>
      <c r="E77" s="283"/>
      <c r="F77" s="255" t="s">
        <v>380</v>
      </c>
      <c r="G77" s="256" t="s">
        <v>382</v>
      </c>
      <c r="H77" s="257">
        <v>25</v>
      </c>
      <c r="I77" s="257"/>
      <c r="J77" s="255" t="s">
        <v>380</v>
      </c>
      <c r="K77" s="256" t="s">
        <v>433</v>
      </c>
      <c r="L77" s="257">
        <v>31</v>
      </c>
      <c r="M77" s="257"/>
      <c r="N77" s="255" t="s">
        <v>380</v>
      </c>
      <c r="O77" s="256" t="s">
        <v>434</v>
      </c>
      <c r="P77" s="257">
        <v>31</v>
      </c>
      <c r="Q77" s="257"/>
      <c r="R77" s="255" t="s">
        <v>380</v>
      </c>
      <c r="S77" s="256" t="s">
        <v>384</v>
      </c>
      <c r="T77" s="257">
        <v>31</v>
      </c>
      <c r="U77" s="243"/>
      <c r="Y77" s="273"/>
      <c r="Z77" s="273"/>
      <c r="AC77" s="273"/>
      <c r="AD77" s="273"/>
      <c r="AG77" s="273"/>
      <c r="AH77" s="273"/>
      <c r="AK77" s="273"/>
      <c r="AL77" s="273"/>
      <c r="BP77" s="1" t="str">
        <f>IF(DAY_SCH!A75="","",DAY_SCH!A75)</f>
        <v/>
      </c>
    </row>
    <row r="78" spans="1:68">
      <c r="A78" s="9"/>
      <c r="B78" s="260"/>
      <c r="C78" s="261" t="str">
        <f>IF(ISNA(VLOOKUP(C76,D!$C$4:$C$103,1,0)),"","Schedules and Day Schedules can't have same name!")</f>
        <v/>
      </c>
      <c r="D78" s="261"/>
      <c r="E78" s="261"/>
      <c r="F78" s="262"/>
      <c r="G78" s="263" t="str">
        <f>IF(OR(H77&gt;VLOOKUP(G77,D!$G$4:$I$16,3,0),AND(G77=G76,H77&lt;=H76),VLOOKUP(G77,D!$G$4:$H$16,2,0)&lt;VLOOKUP(G76,D!$G$4:$H$16,2,0)),"Must correct date!","")</f>
        <v/>
      </c>
      <c r="H78" s="263"/>
      <c r="I78" s="264"/>
      <c r="J78" s="262"/>
      <c r="K78" s="263" t="str">
        <f>IF(AND(K77=" ",K76=" "),"",IF(OR(L77&gt;VLOOKUP(K77,D!$G$4:$I$16,3,0),AND(K77=K76,L77&lt;=L76),VLOOKUP(K77,D!$G$4:$H$16,2,0)&lt;VLOOKUP(K76,D!$G$4:$H$16,2,0)),"Must correct date!",""))</f>
        <v/>
      </c>
      <c r="L78" s="263"/>
      <c r="M78" s="264"/>
      <c r="N78" s="262"/>
      <c r="O78" s="263" t="str">
        <f>IF(AND(O77=" ",O76=" "),"",IF(OR(P77&gt;VLOOKUP(O77,D!$G$4:$I$16,3,0),AND(O77=O76,P77&lt;=P76),VLOOKUP(O77,D!$G$4:$H$16,2,0)&lt;VLOOKUP(O76,D!$G$4:$H$16,2,0)),"Must correct date!",""))</f>
        <v/>
      </c>
      <c r="P78" s="263"/>
      <c r="Q78" s="264"/>
      <c r="R78" s="262"/>
      <c r="S78" s="265" t="str">
        <f>IF(AND(S77=" ",S76=" "),"",IF(OR(T77&gt;VLOOKUP(S77,D!$G$4:$I$16,3,0),AND(S77=S76,T77&lt;=T76),VLOOKUP(S77,D!$G$4:$H$16,2,0)&lt;VLOOKUP(S76,D!$G$4:$H$16,2,0)),"Must correct date!",""))</f>
        <v/>
      </c>
      <c r="T78" s="265"/>
      <c r="U78" s="243"/>
      <c r="X78" s="273"/>
      <c r="Y78" s="273"/>
      <c r="Z78" s="273"/>
      <c r="AB78" s="273"/>
      <c r="AC78" s="273"/>
      <c r="AD78" s="273"/>
      <c r="AF78" s="273"/>
      <c r="AG78" s="273"/>
      <c r="AH78" s="273"/>
      <c r="AJ78" s="273"/>
      <c r="AK78" s="273"/>
      <c r="AL78" s="273"/>
      <c r="BP78" s="1" t="str">
        <f>IF(DAY_SCH!A76="","",DAY_SCH!A76)</f>
        <v/>
      </c>
    </row>
    <row r="79" spans="1:68">
      <c r="A79" s="9"/>
      <c r="B79" s="260"/>
      <c r="C79" s="261"/>
      <c r="D79" s="261"/>
      <c r="E79" s="261"/>
      <c r="F79" s="267" t="s">
        <v>389</v>
      </c>
      <c r="G79" s="268" t="s">
        <v>390</v>
      </c>
      <c r="H79" s="268"/>
      <c r="I79" s="269"/>
      <c r="J79" s="267" t="str">
        <f t="shared" ref="J79:J88" si="8">$F79</f>
        <v>SUN:</v>
      </c>
      <c r="K79" s="268"/>
      <c r="L79" s="268"/>
      <c r="M79" s="269"/>
      <c r="N79" s="267" t="s">
        <v>389</v>
      </c>
      <c r="O79" s="268"/>
      <c r="P79" s="268"/>
      <c r="Q79" s="269"/>
      <c r="R79" s="267" t="s">
        <v>391</v>
      </c>
      <c r="S79" s="284"/>
      <c r="T79" s="284"/>
      <c r="U79" s="243"/>
      <c r="X79" s="273"/>
      <c r="Y79" s="273"/>
      <c r="Z79" s="273"/>
      <c r="AB79" s="273"/>
      <c r="AC79" s="273"/>
      <c r="AD79" s="273"/>
      <c r="AF79" s="273"/>
      <c r="AG79" s="273"/>
      <c r="AH79" s="273"/>
      <c r="AJ79" s="273"/>
      <c r="AK79" s="273"/>
      <c r="AL79" s="273"/>
      <c r="BP79" s="1" t="str">
        <f>IF(DAY_SCH!A77="","",DAY_SCH!A77)</f>
        <v/>
      </c>
    </row>
    <row r="80" spans="1:68">
      <c r="A80" s="9"/>
      <c r="B80" s="260"/>
      <c r="C80" s="285" t="s">
        <v>395</v>
      </c>
      <c r="D80" s="262"/>
      <c r="E80" s="262"/>
      <c r="F80" s="267" t="s">
        <v>396</v>
      </c>
      <c r="G80" s="268" t="s">
        <v>390</v>
      </c>
      <c r="H80" s="268"/>
      <c r="I80" s="264"/>
      <c r="J80" s="267" t="str">
        <f t="shared" si="8"/>
        <v>MON:</v>
      </c>
      <c r="K80" s="268"/>
      <c r="L80" s="268"/>
      <c r="M80" s="269"/>
      <c r="N80" s="267" t="s">
        <v>396</v>
      </c>
      <c r="O80" s="268"/>
      <c r="P80" s="268"/>
      <c r="Q80" s="269"/>
      <c r="R80" s="267" t="s">
        <v>397</v>
      </c>
      <c r="S80" s="284"/>
      <c r="T80" s="284"/>
      <c r="U80" s="243"/>
      <c r="X80" s="273"/>
      <c r="Y80" s="273"/>
      <c r="Z80" s="273"/>
      <c r="AB80" s="273"/>
      <c r="AC80" s="273"/>
      <c r="AD80" s="273"/>
      <c r="AF80" s="273"/>
      <c r="AG80" s="273"/>
      <c r="AH80" s="273"/>
      <c r="AJ80" s="273"/>
      <c r="AK80" s="273"/>
      <c r="AL80" s="273"/>
      <c r="BP80" s="1" t="str">
        <f>IF(DAY_SCH!A78="","",DAY_SCH!A78)</f>
        <v/>
      </c>
    </row>
    <row r="81" spans="1:68">
      <c r="A81" s="9"/>
      <c r="B81" s="260"/>
      <c r="C81" s="286" t="s">
        <v>420</v>
      </c>
      <c r="D81" s="262"/>
      <c r="E81" s="262"/>
      <c r="F81" s="267" t="s">
        <v>402</v>
      </c>
      <c r="G81" s="268" t="s">
        <v>390</v>
      </c>
      <c r="H81" s="268"/>
      <c r="I81" s="264"/>
      <c r="J81" s="267" t="str">
        <f t="shared" si="8"/>
        <v>TUE:</v>
      </c>
      <c r="K81" s="268"/>
      <c r="L81" s="268"/>
      <c r="M81" s="269"/>
      <c r="N81" s="267" t="s">
        <v>402</v>
      </c>
      <c r="O81" s="268"/>
      <c r="P81" s="268"/>
      <c r="Q81" s="269"/>
      <c r="R81" s="267" t="s">
        <v>403</v>
      </c>
      <c r="S81" s="284"/>
      <c r="T81" s="284"/>
      <c r="U81" s="243"/>
      <c r="X81" s="273"/>
      <c r="Y81" s="273"/>
      <c r="Z81" s="273"/>
      <c r="AB81" s="273"/>
      <c r="AC81" s="273"/>
      <c r="AD81" s="273"/>
      <c r="AF81" s="273"/>
      <c r="AG81" s="273"/>
      <c r="AH81" s="273"/>
      <c r="AJ81" s="273"/>
      <c r="AK81" s="273"/>
      <c r="AL81" s="273"/>
      <c r="BP81" s="1" t="str">
        <f>IF(DAY_SCH!A79="","",DAY_SCH!A79)</f>
        <v/>
      </c>
    </row>
    <row r="82" spans="1:68">
      <c r="A82" s="9"/>
      <c r="B82" s="260"/>
      <c r="C82" s="286"/>
      <c r="D82" s="262"/>
      <c r="E82" s="262"/>
      <c r="F82" s="267" t="s">
        <v>407</v>
      </c>
      <c r="G82" s="268" t="s">
        <v>390</v>
      </c>
      <c r="H82" s="268"/>
      <c r="I82" s="264"/>
      <c r="J82" s="267" t="str">
        <f t="shared" si="8"/>
        <v>WED:</v>
      </c>
      <c r="K82" s="268"/>
      <c r="L82" s="268"/>
      <c r="M82" s="269"/>
      <c r="N82" s="267" t="s">
        <v>407</v>
      </c>
      <c r="O82" s="268"/>
      <c r="P82" s="268"/>
      <c r="Q82" s="269"/>
      <c r="R82" s="267" t="s">
        <v>408</v>
      </c>
      <c r="S82" s="284"/>
      <c r="T82" s="284"/>
      <c r="U82" s="243"/>
      <c r="X82" s="273"/>
      <c r="Y82" s="273"/>
      <c r="Z82" s="273"/>
      <c r="AB82" s="273"/>
      <c r="AC82" s="273"/>
      <c r="AD82" s="273"/>
      <c r="AF82" s="273"/>
      <c r="AG82" s="273"/>
      <c r="AH82" s="273"/>
      <c r="AJ82" s="273"/>
      <c r="AK82" s="273"/>
      <c r="AL82" s="273"/>
      <c r="BP82" s="1" t="str">
        <f>IF(DAY_SCH!A80="","",DAY_SCH!A80)</f>
        <v/>
      </c>
    </row>
    <row r="83" spans="1:68" ht="24">
      <c r="A83" s="9"/>
      <c r="B83" s="260"/>
      <c r="C83" s="274" t="s">
        <v>410</v>
      </c>
      <c r="D83" s="262"/>
      <c r="E83" s="262"/>
      <c r="F83" s="267" t="s">
        <v>411</v>
      </c>
      <c r="G83" s="268" t="s">
        <v>390</v>
      </c>
      <c r="H83" s="268"/>
      <c r="I83" s="264"/>
      <c r="J83" s="267" t="str">
        <f t="shared" si="8"/>
        <v>THU:</v>
      </c>
      <c r="K83" s="268"/>
      <c r="L83" s="268"/>
      <c r="M83" s="269"/>
      <c r="N83" s="267" t="s">
        <v>411</v>
      </c>
      <c r="O83" s="268"/>
      <c r="P83" s="268"/>
      <c r="Q83" s="269"/>
      <c r="R83" s="267" t="s">
        <v>412</v>
      </c>
      <c r="S83" s="284"/>
      <c r="T83" s="284"/>
      <c r="U83" s="243"/>
      <c r="X83" s="273"/>
      <c r="Y83" s="273"/>
      <c r="Z83" s="273"/>
      <c r="AB83" s="273"/>
      <c r="AC83" s="273"/>
      <c r="AD83" s="273"/>
      <c r="AF83" s="273"/>
      <c r="AG83" s="273"/>
      <c r="AH83" s="273"/>
      <c r="AJ83" s="273"/>
      <c r="AK83" s="273"/>
      <c r="AL83" s="273"/>
      <c r="BP83" s="1" t="str">
        <f>IF(DAY_SCH!A81="","",DAY_SCH!A81)</f>
        <v/>
      </c>
    </row>
    <row r="84" spans="1:68">
      <c r="A84" s="9"/>
      <c r="B84" s="260"/>
      <c r="C84" s="274"/>
      <c r="D84" s="262"/>
      <c r="E84" s="262"/>
      <c r="F84" s="267" t="s">
        <v>414</v>
      </c>
      <c r="G84" s="268" t="s">
        <v>390</v>
      </c>
      <c r="H84" s="268"/>
      <c r="I84" s="264"/>
      <c r="J84" s="267" t="str">
        <f t="shared" si="8"/>
        <v>FRI:</v>
      </c>
      <c r="K84" s="268"/>
      <c r="L84" s="268"/>
      <c r="M84" s="269"/>
      <c r="N84" s="267" t="s">
        <v>414</v>
      </c>
      <c r="O84" s="268"/>
      <c r="P84" s="268"/>
      <c r="Q84" s="269"/>
      <c r="R84" s="267" t="s">
        <v>415</v>
      </c>
      <c r="S84" s="284"/>
      <c r="T84" s="284"/>
      <c r="U84" s="243"/>
      <c r="X84" s="273"/>
      <c r="Y84" s="273"/>
      <c r="Z84" s="273"/>
      <c r="AB84" s="273"/>
      <c r="AC84" s="273"/>
      <c r="AD84" s="273"/>
      <c r="AF84" s="273"/>
      <c r="AG84" s="273"/>
      <c r="AH84" s="273"/>
      <c r="AJ84" s="273"/>
      <c r="AK84" s="273"/>
      <c r="AL84" s="273"/>
      <c r="BP84" s="1" t="str">
        <f>IF(DAY_SCH!A82="","",DAY_SCH!A82)</f>
        <v/>
      </c>
    </row>
    <row r="85" spans="1:68">
      <c r="A85" s="9"/>
      <c r="B85" s="260"/>
      <c r="C85" s="238" t="str">
        <f>IF(AND(C81="Other",OR(D85=" ",D85="")),"Select Type →",IF(AND(NOT(C81="Other"),AND(NOT(D85=" "),NOT(D85=""))),"Deselect Type→",VLOOKUP(C81,$BL$6:$BM$19,2,0)))</f>
        <v>Fraction</v>
      </c>
      <c r="D85" s="275"/>
      <c r="E85" s="275"/>
      <c r="F85" s="267" t="s">
        <v>418</v>
      </c>
      <c r="G85" s="268" t="s">
        <v>390</v>
      </c>
      <c r="H85" s="268"/>
      <c r="I85" s="264"/>
      <c r="J85" s="267" t="str">
        <f t="shared" si="8"/>
        <v>SAT:</v>
      </c>
      <c r="K85" s="268"/>
      <c r="L85" s="268"/>
      <c r="M85" s="269"/>
      <c r="N85" s="267" t="s">
        <v>418</v>
      </c>
      <c r="O85" s="268"/>
      <c r="P85" s="268"/>
      <c r="Q85" s="269"/>
      <c r="R85" s="267" t="s">
        <v>419</v>
      </c>
      <c r="S85" s="284"/>
      <c r="T85" s="284"/>
      <c r="U85" s="243"/>
      <c r="X85" s="273"/>
      <c r="Y85" s="273"/>
      <c r="Z85" s="273"/>
      <c r="AB85" s="273"/>
      <c r="AC85" s="273"/>
      <c r="AD85" s="273"/>
      <c r="AF85" s="273"/>
      <c r="AG85" s="273"/>
      <c r="AH85" s="273"/>
      <c r="AJ85" s="273"/>
      <c r="AK85" s="273"/>
      <c r="AL85" s="273"/>
      <c r="BP85" s="1" t="str">
        <f>IF(DAY_SCH!A83="","",DAY_SCH!A83)</f>
        <v/>
      </c>
    </row>
    <row r="86" spans="1:68">
      <c r="A86" s="9"/>
      <c r="B86" s="260"/>
      <c r="C86" s="238"/>
      <c r="D86" s="275"/>
      <c r="E86" s="275"/>
      <c r="F86" s="267" t="s">
        <v>421</v>
      </c>
      <c r="G86" s="268" t="s">
        <v>390</v>
      </c>
      <c r="H86" s="268"/>
      <c r="I86" s="264"/>
      <c r="J86" s="267" t="str">
        <f t="shared" si="8"/>
        <v>HOL:</v>
      </c>
      <c r="K86" s="268"/>
      <c r="L86" s="268"/>
      <c r="M86" s="269"/>
      <c r="N86" s="267" t="s">
        <v>421</v>
      </c>
      <c r="O86" s="268"/>
      <c r="P86" s="268"/>
      <c r="Q86" s="269"/>
      <c r="R86" s="267" t="s">
        <v>391</v>
      </c>
      <c r="S86" s="284"/>
      <c r="T86" s="284"/>
      <c r="U86" s="243"/>
      <c r="X86" s="273"/>
      <c r="Y86" s="273"/>
      <c r="Z86" s="273"/>
      <c r="AB86" s="273"/>
      <c r="AC86" s="273"/>
      <c r="AD86" s="273"/>
      <c r="AF86" s="273"/>
      <c r="AG86" s="273"/>
      <c r="AH86" s="273"/>
      <c r="AJ86" s="273"/>
      <c r="AK86" s="273"/>
      <c r="AL86" s="273"/>
      <c r="BP86" s="1" t="str">
        <f>IF(DAY_SCH!A84="","",DAY_SCH!A84)</f>
        <v/>
      </c>
    </row>
    <row r="87" spans="1:68">
      <c r="A87" s="9"/>
      <c r="B87" s="260"/>
      <c r="C87" s="261" t="str">
        <f>IF(ISNA(VLOOKUP(C85,D!$C$4:$C$103,1,0)),"",IF(VLOOKUP(C85,D!$C$4:$C$203,1,0)="","","Schedules and Day Schedules can't have same name!"))</f>
        <v/>
      </c>
      <c r="D87" s="261"/>
      <c r="E87" s="261"/>
      <c r="F87" s="267" t="s">
        <v>424</v>
      </c>
      <c r="G87" s="268" t="s">
        <v>425</v>
      </c>
      <c r="H87" s="268"/>
      <c r="I87" s="264"/>
      <c r="J87" s="267" t="str">
        <f t="shared" si="8"/>
        <v>HDD:</v>
      </c>
      <c r="K87" s="268"/>
      <c r="L87" s="268"/>
      <c r="M87" s="269"/>
      <c r="N87" s="267" t="s">
        <v>424</v>
      </c>
      <c r="O87" s="268"/>
      <c r="P87" s="268"/>
      <c r="Q87" s="269"/>
      <c r="R87" s="267" t="s">
        <v>426</v>
      </c>
      <c r="S87" s="284"/>
      <c r="T87" s="284"/>
      <c r="U87" s="243"/>
      <c r="X87" s="273"/>
      <c r="AB87" s="273"/>
      <c r="AF87" s="273"/>
      <c r="AJ87" s="273"/>
      <c r="BP87" s="1" t="str">
        <f>IF(DAY_SCH!A85="","",DAY_SCH!A85)</f>
        <v/>
      </c>
    </row>
    <row r="88" spans="1:68">
      <c r="A88" s="9"/>
      <c r="B88" s="260"/>
      <c r="C88" s="261"/>
      <c r="D88" s="261"/>
      <c r="E88" s="261"/>
      <c r="F88" s="267" t="s">
        <v>429</v>
      </c>
      <c r="G88" s="268" t="s">
        <v>430</v>
      </c>
      <c r="H88" s="268"/>
      <c r="I88" s="269"/>
      <c r="J88" s="267" t="str">
        <f t="shared" si="8"/>
        <v>CDD:</v>
      </c>
      <c r="K88" s="268"/>
      <c r="L88" s="268"/>
      <c r="M88" s="269"/>
      <c r="N88" s="267" t="s">
        <v>429</v>
      </c>
      <c r="O88" s="268"/>
      <c r="P88" s="268"/>
      <c r="Q88" s="269"/>
      <c r="R88" s="267" t="s">
        <v>431</v>
      </c>
      <c r="S88" s="284"/>
      <c r="T88" s="284"/>
      <c r="U88" s="243"/>
      <c r="BP88" s="1" t="str">
        <f>IF(DAY_SCH!A86="","",DAY_SCH!A86)</f>
        <v/>
      </c>
    </row>
    <row r="89" spans="1:68">
      <c r="A89" s="9"/>
      <c r="B89" s="276"/>
      <c r="C89" s="276"/>
      <c r="D89" s="276"/>
      <c r="E89" s="276"/>
      <c r="F89" s="276"/>
      <c r="G89" s="276"/>
      <c r="H89" s="276"/>
      <c r="I89" s="276"/>
      <c r="J89" s="276"/>
      <c r="K89" s="276"/>
      <c r="L89" s="276"/>
      <c r="M89" s="276"/>
      <c r="N89" s="276"/>
      <c r="O89" s="276"/>
      <c r="P89" s="276"/>
      <c r="Q89" s="276"/>
      <c r="R89" s="276"/>
      <c r="S89" s="276"/>
      <c r="T89" s="276"/>
      <c r="U89" s="243"/>
      <c r="BP89" s="1" t="str">
        <f>IF(DAY_SCH!A87="","",DAY_SCH!A87)</f>
        <v/>
      </c>
    </row>
    <row r="90" spans="1:68">
      <c r="A90" s="9">
        <f>IF(C76="",A76+1,IF(OR(AND(G77="December",H77=31),AND(K77="December",L77=31),AND(O77="December",P77=31),AND(S77="December",T77=31)),A76+1,A76))</f>
        <v>7</v>
      </c>
      <c r="B90" s="282" t="s">
        <v>376</v>
      </c>
      <c r="C90" s="283" t="s">
        <v>377</v>
      </c>
      <c r="D90" s="283"/>
      <c r="E90" s="283"/>
      <c r="F90" s="249" t="s">
        <v>378</v>
      </c>
      <c r="G90" s="250" t="s">
        <v>379</v>
      </c>
      <c r="H90" s="251">
        <v>1</v>
      </c>
      <c r="I90" s="251"/>
      <c r="J90" s="249" t="s">
        <v>378</v>
      </c>
      <c r="K90" s="252" t="str">
        <f>IF(AND(G91="December",H91=31)," ",IF(VLOOKUP(G91,D!$G$5:$I$16,3,0)=H91,LOOKUP(VLOOKUP(G91,D!$G$4:$H$16,2,0)+1,D!$H$4:$H$16,D!$G$4:$G$16),G91))</f>
        <v>April</v>
      </c>
      <c r="L90" s="251">
        <f>IF(K90=" "," ",IF(K90=G91,H91+1,1))</f>
        <v>26</v>
      </c>
      <c r="M90" s="251"/>
      <c r="N90" s="249" t="s">
        <v>378</v>
      </c>
      <c r="O90" s="250" t="str">
        <f>IF(OR(K91=" ",AND(K91="December",L91=31))," ",IF(VLOOKUP(K91,D!$G$5:$I$16,3,0)=L91,LOOKUP(VLOOKUP(K91,D!$G$4:$H$16,2,0)+1,D!$H$4:$H$16,D!$G$4:$G$16),K91))</f>
        <v>June</v>
      </c>
      <c r="P90" s="251">
        <f>IF(O90=" "," ",IF(O90=K91,L91+1,1))</f>
        <v>1</v>
      </c>
      <c r="Q90" s="251"/>
      <c r="R90" s="249" t="s">
        <v>378</v>
      </c>
      <c r="S90" s="250" t="str">
        <f>IF(OR(O91=" ",AND(O91="December",P91=31))," ",IF(VLOOKUP(O91,D!$G$5:$I$16,3,0)=P91,LOOKUP(VLOOKUP(O91,D!$G$4:$H$16,2,0)+1,D!$H$4:$H$16,D!$G$4:$G$16),O91))</f>
        <v>August</v>
      </c>
      <c r="T90" s="251">
        <f>IF(S90=" "," ",IF(S90=O91,P91+1,1))</f>
        <v>1</v>
      </c>
      <c r="U90" s="243"/>
      <c r="BP90" s="1" t="str">
        <f>IF(DAY_SCH!A88="","",DAY_SCH!A88)</f>
        <v/>
      </c>
    </row>
    <row r="91" spans="1:68" ht="28.5">
      <c r="A91" s="9"/>
      <c r="B91" s="282"/>
      <c r="C91" s="283"/>
      <c r="D91" s="283"/>
      <c r="E91" s="283"/>
      <c r="F91" s="255" t="s">
        <v>380</v>
      </c>
      <c r="G91" s="256" t="s">
        <v>382</v>
      </c>
      <c r="H91" s="257">
        <v>25</v>
      </c>
      <c r="I91" s="257"/>
      <c r="J91" s="255" t="s">
        <v>380</v>
      </c>
      <c r="K91" s="256" t="s">
        <v>433</v>
      </c>
      <c r="L91" s="257">
        <v>31</v>
      </c>
      <c r="M91" s="257"/>
      <c r="N91" s="255" t="s">
        <v>380</v>
      </c>
      <c r="O91" s="256" t="s">
        <v>434</v>
      </c>
      <c r="P91" s="257">
        <v>31</v>
      </c>
      <c r="Q91" s="257"/>
      <c r="R91" s="255" t="s">
        <v>380</v>
      </c>
      <c r="S91" s="256" t="s">
        <v>384</v>
      </c>
      <c r="T91" s="257">
        <v>31</v>
      </c>
      <c r="U91" s="243"/>
      <c r="Y91" s="273"/>
      <c r="Z91" s="273"/>
      <c r="AC91" s="273"/>
      <c r="AD91" s="273"/>
      <c r="AG91" s="273"/>
      <c r="AH91" s="273"/>
      <c r="AK91" s="273"/>
      <c r="AL91" s="273"/>
      <c r="BP91" s="1" t="str">
        <f>IF(DAY_SCH!A89="","",DAY_SCH!A89)</f>
        <v/>
      </c>
    </row>
    <row r="92" spans="1:68">
      <c r="A92" s="9"/>
      <c r="B92" s="260"/>
      <c r="C92" s="261" t="str">
        <f>IF(ISNA(VLOOKUP(C90,D!$C$4:$C$103,1,0)),"","Schedules and Day Schedules can't have same name!")</f>
        <v/>
      </c>
      <c r="D92" s="261"/>
      <c r="E92" s="261"/>
      <c r="F92" s="262"/>
      <c r="G92" s="263" t="str">
        <f>IF(OR(H91&gt;VLOOKUP(G91,D!$G$4:$I$16,3,0),AND(G91=G90,H91&lt;=H90),VLOOKUP(G91,D!$G$4:$H$16,2,0)&lt;VLOOKUP(G90,D!$G$4:$H$16,2,0)),"Must correct date!","")</f>
        <v/>
      </c>
      <c r="H92" s="263"/>
      <c r="I92" s="264"/>
      <c r="J92" s="262"/>
      <c r="K92" s="263" t="str">
        <f>IF(AND(K91=" ",K90=" "),"",IF(OR(L91&gt;VLOOKUP(K91,D!$G$4:$I$16,3,0),AND(K91=K90,L91&lt;=L90),VLOOKUP(K91,D!$G$4:$H$16,2,0)&lt;VLOOKUP(K90,D!$G$4:$H$16,2,0)),"Must correct date!",""))</f>
        <v/>
      </c>
      <c r="L92" s="263"/>
      <c r="M92" s="264"/>
      <c r="N92" s="262"/>
      <c r="O92" s="263" t="str">
        <f>IF(AND(O91=" ",O90=" "),"",IF(OR(P91&gt;VLOOKUP(O91,D!$G$4:$I$16,3,0),AND(O91=O90,P91&lt;=P90),VLOOKUP(O91,D!$G$4:$H$16,2,0)&lt;VLOOKUP(O90,D!$G$4:$H$16,2,0)),"Must correct date!",""))</f>
        <v/>
      </c>
      <c r="P92" s="263"/>
      <c r="Q92" s="264"/>
      <c r="R92" s="262"/>
      <c r="S92" s="265" t="str">
        <f>IF(AND(S91=" ",S90=" "),"",IF(OR(T91&gt;VLOOKUP(S91,D!$G$4:$I$16,3,0),AND(S91=S90,T91&lt;=T90),VLOOKUP(S91,D!$G$4:$H$16,2,0)&lt;VLOOKUP(S90,D!$G$4:$H$16,2,0)),"Must correct date!",""))</f>
        <v/>
      </c>
      <c r="T92" s="265"/>
      <c r="U92" s="243"/>
      <c r="X92" s="273"/>
      <c r="Y92" s="273"/>
      <c r="Z92" s="273"/>
      <c r="AB92" s="273"/>
      <c r="AC92" s="273"/>
      <c r="AD92" s="273"/>
      <c r="AF92" s="273"/>
      <c r="AG92" s="273"/>
      <c r="AH92" s="273"/>
      <c r="AJ92" s="273"/>
      <c r="AK92" s="273"/>
      <c r="AL92" s="273"/>
      <c r="BP92" s="1" t="str">
        <f>IF(DAY_SCH!A90="","",DAY_SCH!A90)</f>
        <v/>
      </c>
    </row>
    <row r="93" spans="1:68">
      <c r="A93" s="9"/>
      <c r="B93" s="260"/>
      <c r="C93" s="261"/>
      <c r="D93" s="261"/>
      <c r="E93" s="261"/>
      <c r="F93" s="267" t="s">
        <v>389</v>
      </c>
      <c r="G93" s="268" t="s">
        <v>390</v>
      </c>
      <c r="H93" s="268"/>
      <c r="I93" s="269"/>
      <c r="J93" s="267" t="str">
        <f t="shared" ref="J93:J102" si="9">$F93</f>
        <v>SUN:</v>
      </c>
      <c r="K93" s="268"/>
      <c r="L93" s="268"/>
      <c r="M93" s="269"/>
      <c r="N93" s="267" t="s">
        <v>389</v>
      </c>
      <c r="O93" s="268"/>
      <c r="P93" s="268"/>
      <c r="Q93" s="269"/>
      <c r="R93" s="267" t="s">
        <v>391</v>
      </c>
      <c r="S93" s="284"/>
      <c r="T93" s="284"/>
      <c r="U93" s="243"/>
      <c r="X93" s="273"/>
      <c r="Y93" s="273"/>
      <c r="Z93" s="273"/>
      <c r="AB93" s="273"/>
      <c r="AC93" s="273"/>
      <c r="AD93" s="273"/>
      <c r="AF93" s="273"/>
      <c r="AG93" s="273"/>
      <c r="AH93" s="273"/>
      <c r="AJ93" s="273"/>
      <c r="AK93" s="273"/>
      <c r="AL93" s="273"/>
      <c r="BP93" s="1" t="str">
        <f>IF(DAY_SCH!A91="","",DAY_SCH!A91)</f>
        <v/>
      </c>
    </row>
    <row r="94" spans="1:68">
      <c r="A94" s="9"/>
      <c r="B94" s="260"/>
      <c r="C94" s="285" t="s">
        <v>395</v>
      </c>
      <c r="D94" s="262"/>
      <c r="E94" s="262"/>
      <c r="F94" s="267" t="s">
        <v>396</v>
      </c>
      <c r="G94" s="268" t="s">
        <v>390</v>
      </c>
      <c r="H94" s="268"/>
      <c r="I94" s="264"/>
      <c r="J94" s="267" t="str">
        <f t="shared" si="9"/>
        <v>MON:</v>
      </c>
      <c r="K94" s="268"/>
      <c r="L94" s="268"/>
      <c r="M94" s="269"/>
      <c r="N94" s="267" t="s">
        <v>396</v>
      </c>
      <c r="O94" s="268"/>
      <c r="P94" s="268"/>
      <c r="Q94" s="269"/>
      <c r="R94" s="267" t="s">
        <v>397</v>
      </c>
      <c r="S94" s="284"/>
      <c r="T94" s="284"/>
      <c r="U94" s="243"/>
      <c r="X94" s="273"/>
      <c r="Y94" s="273"/>
      <c r="Z94" s="273"/>
      <c r="AB94" s="273"/>
      <c r="AC94" s="273"/>
      <c r="AD94" s="273"/>
      <c r="AF94" s="273"/>
      <c r="AG94" s="273"/>
      <c r="AH94" s="273"/>
      <c r="AJ94" s="273"/>
      <c r="AK94" s="273"/>
      <c r="AL94" s="273"/>
      <c r="BP94" s="1" t="str">
        <f>IF(DAY_SCH!A92="","",DAY_SCH!A92)</f>
        <v/>
      </c>
    </row>
    <row r="95" spans="1:68">
      <c r="A95" s="9"/>
      <c r="B95" s="260"/>
      <c r="C95" s="286" t="s">
        <v>420</v>
      </c>
      <c r="D95" s="262"/>
      <c r="E95" s="262"/>
      <c r="F95" s="267" t="s">
        <v>402</v>
      </c>
      <c r="G95" s="268" t="s">
        <v>390</v>
      </c>
      <c r="H95" s="268"/>
      <c r="I95" s="264"/>
      <c r="J95" s="267" t="str">
        <f t="shared" si="9"/>
        <v>TUE:</v>
      </c>
      <c r="K95" s="268"/>
      <c r="L95" s="268"/>
      <c r="M95" s="269"/>
      <c r="N95" s="267" t="s">
        <v>402</v>
      </c>
      <c r="O95" s="268"/>
      <c r="P95" s="268"/>
      <c r="Q95" s="269"/>
      <c r="R95" s="267" t="s">
        <v>403</v>
      </c>
      <c r="S95" s="284"/>
      <c r="T95" s="284"/>
      <c r="U95" s="243"/>
      <c r="X95" s="273"/>
      <c r="Y95" s="273"/>
      <c r="Z95" s="273"/>
      <c r="AB95" s="273"/>
      <c r="AC95" s="273"/>
      <c r="AD95" s="273"/>
      <c r="AF95" s="273"/>
      <c r="AG95" s="273"/>
      <c r="AH95" s="273"/>
      <c r="AJ95" s="273"/>
      <c r="AK95" s="273"/>
      <c r="AL95" s="273"/>
      <c r="BP95" s="1" t="str">
        <f>IF(DAY_SCH!A93="","",DAY_SCH!A93)</f>
        <v/>
      </c>
    </row>
    <row r="96" spans="1:68">
      <c r="A96" s="9"/>
      <c r="B96" s="260"/>
      <c r="C96" s="286"/>
      <c r="D96" s="262"/>
      <c r="E96" s="262"/>
      <c r="F96" s="267" t="s">
        <v>407</v>
      </c>
      <c r="G96" s="268" t="s">
        <v>390</v>
      </c>
      <c r="H96" s="268"/>
      <c r="I96" s="264"/>
      <c r="J96" s="267" t="str">
        <f t="shared" si="9"/>
        <v>WED:</v>
      </c>
      <c r="K96" s="268"/>
      <c r="L96" s="268"/>
      <c r="M96" s="269"/>
      <c r="N96" s="267" t="s">
        <v>407</v>
      </c>
      <c r="O96" s="268"/>
      <c r="P96" s="268"/>
      <c r="Q96" s="269"/>
      <c r="R96" s="267" t="s">
        <v>408</v>
      </c>
      <c r="S96" s="284"/>
      <c r="T96" s="284"/>
      <c r="U96" s="243"/>
      <c r="X96" s="273"/>
      <c r="Y96" s="273"/>
      <c r="Z96" s="273"/>
      <c r="AB96" s="273"/>
      <c r="AC96" s="273"/>
      <c r="AD96" s="273"/>
      <c r="AF96" s="273"/>
      <c r="AG96" s="273"/>
      <c r="AH96" s="273"/>
      <c r="AJ96" s="273"/>
      <c r="AK96" s="273"/>
      <c r="AL96" s="273"/>
      <c r="BP96" s="1" t="str">
        <f>IF(DAY_SCH!A94="","",DAY_SCH!A94)</f>
        <v/>
      </c>
    </row>
    <row r="97" spans="1:68" ht="24">
      <c r="A97" s="9"/>
      <c r="B97" s="260"/>
      <c r="C97" s="274" t="s">
        <v>410</v>
      </c>
      <c r="D97" s="262"/>
      <c r="E97" s="262"/>
      <c r="F97" s="267" t="s">
        <v>411</v>
      </c>
      <c r="G97" s="268" t="s">
        <v>390</v>
      </c>
      <c r="H97" s="268"/>
      <c r="I97" s="264"/>
      <c r="J97" s="267" t="str">
        <f t="shared" si="9"/>
        <v>THU:</v>
      </c>
      <c r="K97" s="268"/>
      <c r="L97" s="268"/>
      <c r="M97" s="269"/>
      <c r="N97" s="267" t="s">
        <v>411</v>
      </c>
      <c r="O97" s="268"/>
      <c r="P97" s="268"/>
      <c r="Q97" s="269"/>
      <c r="R97" s="267" t="s">
        <v>412</v>
      </c>
      <c r="S97" s="284"/>
      <c r="T97" s="284"/>
      <c r="U97" s="243"/>
      <c r="X97" s="273"/>
      <c r="Y97" s="273"/>
      <c r="Z97" s="273"/>
      <c r="AB97" s="273"/>
      <c r="AC97" s="273"/>
      <c r="AD97" s="273"/>
      <c r="AF97" s="273"/>
      <c r="AG97" s="273"/>
      <c r="AH97" s="273"/>
      <c r="AJ97" s="273"/>
      <c r="AK97" s="273"/>
      <c r="AL97" s="273"/>
      <c r="BP97" s="1" t="str">
        <f>IF(DAY_SCH!A95="","",DAY_SCH!A95)</f>
        <v/>
      </c>
    </row>
    <row r="98" spans="1:68">
      <c r="A98" s="9"/>
      <c r="B98" s="260"/>
      <c r="C98" s="274"/>
      <c r="D98" s="262"/>
      <c r="E98" s="262"/>
      <c r="F98" s="267" t="s">
        <v>414</v>
      </c>
      <c r="G98" s="268" t="s">
        <v>390</v>
      </c>
      <c r="H98" s="268"/>
      <c r="I98" s="264"/>
      <c r="J98" s="267" t="str">
        <f t="shared" si="9"/>
        <v>FRI:</v>
      </c>
      <c r="K98" s="268"/>
      <c r="L98" s="268"/>
      <c r="M98" s="269"/>
      <c r="N98" s="267" t="s">
        <v>414</v>
      </c>
      <c r="O98" s="268"/>
      <c r="P98" s="268"/>
      <c r="Q98" s="269"/>
      <c r="R98" s="267" t="s">
        <v>415</v>
      </c>
      <c r="S98" s="284"/>
      <c r="T98" s="284"/>
      <c r="U98" s="243"/>
      <c r="X98" s="273"/>
      <c r="Y98" s="273"/>
      <c r="Z98" s="273"/>
      <c r="AB98" s="273"/>
      <c r="AC98" s="273"/>
      <c r="AD98" s="273"/>
      <c r="AF98" s="273"/>
      <c r="AG98" s="273"/>
      <c r="AH98" s="273"/>
      <c r="AJ98" s="273"/>
      <c r="AK98" s="273"/>
      <c r="AL98" s="273"/>
      <c r="BP98" s="1" t="str">
        <f>IF(DAY_SCH!A96="","",DAY_SCH!A96)</f>
        <v/>
      </c>
    </row>
    <row r="99" spans="1:68">
      <c r="A99" s="9"/>
      <c r="B99" s="260"/>
      <c r="C99" s="238" t="str">
        <f>IF(AND(C95="Other",OR(D99=" ",D99="")),"Select Type →",IF(AND(NOT(C95="Other"),AND(NOT(D99=" "),NOT(D99=""))),"Deselect Type→",VLOOKUP(C95,$BL$6:$BM$19,2,0)))</f>
        <v>Fraction</v>
      </c>
      <c r="D99" s="275"/>
      <c r="E99" s="275"/>
      <c r="F99" s="267" t="s">
        <v>418</v>
      </c>
      <c r="G99" s="268" t="s">
        <v>390</v>
      </c>
      <c r="H99" s="268"/>
      <c r="I99" s="264"/>
      <c r="J99" s="267" t="str">
        <f t="shared" si="9"/>
        <v>SAT:</v>
      </c>
      <c r="K99" s="268"/>
      <c r="L99" s="268"/>
      <c r="M99" s="269"/>
      <c r="N99" s="267" t="s">
        <v>418</v>
      </c>
      <c r="O99" s="268"/>
      <c r="P99" s="268"/>
      <c r="Q99" s="269"/>
      <c r="R99" s="267" t="s">
        <v>419</v>
      </c>
      <c r="S99" s="284"/>
      <c r="T99" s="284"/>
      <c r="U99" s="243"/>
      <c r="X99" s="273"/>
      <c r="Y99" s="273"/>
      <c r="Z99" s="273"/>
      <c r="AB99" s="273"/>
      <c r="AC99" s="273"/>
      <c r="AD99" s="273"/>
      <c r="AF99" s="273"/>
      <c r="AG99" s="273"/>
      <c r="AH99" s="273"/>
      <c r="AJ99" s="273"/>
      <c r="AK99" s="273"/>
      <c r="AL99" s="273"/>
      <c r="BP99" s="1" t="str">
        <f>IF(DAY_SCH!A97="","",DAY_SCH!A97)</f>
        <v/>
      </c>
    </row>
    <row r="100" spans="1:68">
      <c r="A100" s="9"/>
      <c r="B100" s="260"/>
      <c r="C100" s="238"/>
      <c r="D100" s="275"/>
      <c r="E100" s="275"/>
      <c r="F100" s="267" t="s">
        <v>421</v>
      </c>
      <c r="G100" s="268" t="s">
        <v>390</v>
      </c>
      <c r="H100" s="268"/>
      <c r="I100" s="264"/>
      <c r="J100" s="267" t="str">
        <f t="shared" si="9"/>
        <v>HOL:</v>
      </c>
      <c r="K100" s="268"/>
      <c r="L100" s="268"/>
      <c r="M100" s="269"/>
      <c r="N100" s="267" t="s">
        <v>421</v>
      </c>
      <c r="O100" s="268"/>
      <c r="P100" s="268"/>
      <c r="Q100" s="269"/>
      <c r="R100" s="267" t="s">
        <v>391</v>
      </c>
      <c r="S100" s="284"/>
      <c r="T100" s="284"/>
      <c r="U100" s="243"/>
      <c r="X100" s="273"/>
      <c r="Y100" s="273"/>
      <c r="Z100" s="273"/>
      <c r="AB100" s="273"/>
      <c r="AC100" s="273"/>
      <c r="AD100" s="273"/>
      <c r="AF100" s="273"/>
      <c r="AG100" s="273"/>
      <c r="AH100" s="273"/>
      <c r="AJ100" s="273"/>
      <c r="AK100" s="273"/>
      <c r="AL100" s="273"/>
      <c r="BP100" s="1" t="str">
        <f>IF(DAY_SCH!A98="","",DAY_SCH!A98)</f>
        <v/>
      </c>
    </row>
    <row r="101" spans="1:68">
      <c r="A101" s="9"/>
      <c r="B101" s="260"/>
      <c r="C101" s="261" t="str">
        <f>IF(ISNA(VLOOKUP(C99,D!$C$4:$C$103,1,0)),"",IF(VLOOKUP(C99,D!$C$4:$C$203,1,0)="","","Schedules and Day Schedules can't have same name!"))</f>
        <v/>
      </c>
      <c r="D101" s="261"/>
      <c r="E101" s="261"/>
      <c r="F101" s="267" t="s">
        <v>424</v>
      </c>
      <c r="G101" s="268" t="s">
        <v>425</v>
      </c>
      <c r="H101" s="268"/>
      <c r="I101" s="264"/>
      <c r="J101" s="267" t="str">
        <f t="shared" si="9"/>
        <v>HDD:</v>
      </c>
      <c r="K101" s="268"/>
      <c r="L101" s="268"/>
      <c r="M101" s="269"/>
      <c r="N101" s="267" t="s">
        <v>424</v>
      </c>
      <c r="O101" s="268"/>
      <c r="P101" s="268"/>
      <c r="Q101" s="269"/>
      <c r="R101" s="267" t="s">
        <v>426</v>
      </c>
      <c r="S101" s="284"/>
      <c r="T101" s="284"/>
      <c r="U101" s="243"/>
      <c r="X101" s="273"/>
      <c r="AB101" s="273"/>
      <c r="AF101" s="273"/>
      <c r="AJ101" s="273"/>
      <c r="BP101" s="1" t="str">
        <f>IF(DAY_SCH!A99="","",DAY_SCH!A99)</f>
        <v/>
      </c>
    </row>
    <row r="102" spans="1:68">
      <c r="A102" s="9"/>
      <c r="B102" s="260"/>
      <c r="C102" s="261"/>
      <c r="D102" s="261"/>
      <c r="E102" s="261"/>
      <c r="F102" s="267" t="s">
        <v>429</v>
      </c>
      <c r="G102" s="268" t="s">
        <v>430</v>
      </c>
      <c r="H102" s="268"/>
      <c r="I102" s="269"/>
      <c r="J102" s="267" t="str">
        <f t="shared" si="9"/>
        <v>CDD:</v>
      </c>
      <c r="K102" s="268"/>
      <c r="L102" s="268"/>
      <c r="M102" s="269"/>
      <c r="N102" s="267" t="s">
        <v>429</v>
      </c>
      <c r="O102" s="268"/>
      <c r="P102" s="268"/>
      <c r="Q102" s="269"/>
      <c r="R102" s="267" t="s">
        <v>431</v>
      </c>
      <c r="S102" s="284"/>
      <c r="T102" s="284"/>
      <c r="U102" s="243"/>
      <c r="BP102" s="1" t="str">
        <f>IF(DAY_SCH!A100="","",DAY_SCH!A100)</f>
        <v/>
      </c>
    </row>
    <row r="103" spans="1:68">
      <c r="A103" s="9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6"/>
      <c r="S103" s="276"/>
      <c r="T103" s="276"/>
      <c r="U103" s="243"/>
      <c r="BP103" s="1" t="str">
        <f>IF(DAY_SCH!A101="","",DAY_SCH!A101)</f>
        <v/>
      </c>
    </row>
    <row r="104" spans="1:68">
      <c r="A104" s="9">
        <f>IF(C90="",A90+1,IF(OR(AND(G91="December",H91=31),AND(K91="December",L91=31),AND(O91="December",P91=31),AND(S91="December",T91=31)),A90+1,A90))</f>
        <v>8</v>
      </c>
      <c r="B104" s="282" t="s">
        <v>376</v>
      </c>
      <c r="C104" s="283" t="s">
        <v>377</v>
      </c>
      <c r="D104" s="283"/>
      <c r="E104" s="283"/>
      <c r="F104" s="249" t="s">
        <v>378</v>
      </c>
      <c r="G104" s="250" t="s">
        <v>379</v>
      </c>
      <c r="H104" s="251">
        <v>1</v>
      </c>
      <c r="I104" s="251"/>
      <c r="J104" s="249" t="s">
        <v>378</v>
      </c>
      <c r="K104" s="252" t="str">
        <f>IF(AND(G105="December",H105=31)," ",IF(VLOOKUP(G105,D!$G$5:$I$16,3,0)=H105,LOOKUP(VLOOKUP(G105,D!$G$4:$H$16,2,0)+1,D!$H$4:$H$16,D!$G$4:$G$16),G105))</f>
        <v>April</v>
      </c>
      <c r="L104" s="251">
        <f>IF(K104=" "," ",IF(K104=G105,H105+1,1))</f>
        <v>26</v>
      </c>
      <c r="M104" s="251"/>
      <c r="N104" s="249" t="s">
        <v>378</v>
      </c>
      <c r="O104" s="250" t="str">
        <f>IF(OR(K105=" ",AND(K105="December",L105=31))," ",IF(VLOOKUP(K105,D!$G$5:$I$16,3,0)=L105,LOOKUP(VLOOKUP(K105,D!$G$4:$H$16,2,0)+1,D!$H$4:$H$16,D!$G$4:$G$16),K105))</f>
        <v>June</v>
      </c>
      <c r="P104" s="251">
        <f>IF(O104=" "," ",IF(O104=K105,L105+1,1))</f>
        <v>1</v>
      </c>
      <c r="Q104" s="251"/>
      <c r="R104" s="249" t="s">
        <v>378</v>
      </c>
      <c r="S104" s="250" t="str">
        <f>IF(OR(O105=" ",AND(O105="December",P105=31))," ",IF(VLOOKUP(O105,D!$G$5:$I$16,3,0)=P105,LOOKUP(VLOOKUP(O105,D!$G$4:$H$16,2,0)+1,D!$H$4:$H$16,D!$G$4:$G$16),O105))</f>
        <v>August</v>
      </c>
      <c r="T104" s="251">
        <f>IF(S104=" "," ",IF(S104=O105,P105+1,1))</f>
        <v>1</v>
      </c>
      <c r="U104" s="243"/>
      <c r="BP104" s="1" t="str">
        <f>IF(DAY_SCH!A102="","",DAY_SCH!A102)</f>
        <v/>
      </c>
    </row>
    <row r="105" spans="1:68" ht="28.5">
      <c r="A105" s="9"/>
      <c r="B105" s="282"/>
      <c r="C105" s="283"/>
      <c r="D105" s="283"/>
      <c r="E105" s="283"/>
      <c r="F105" s="255" t="s">
        <v>380</v>
      </c>
      <c r="G105" s="256" t="s">
        <v>382</v>
      </c>
      <c r="H105" s="257">
        <v>25</v>
      </c>
      <c r="I105" s="257"/>
      <c r="J105" s="255" t="s">
        <v>380</v>
      </c>
      <c r="K105" s="256" t="s">
        <v>433</v>
      </c>
      <c r="L105" s="257">
        <v>31</v>
      </c>
      <c r="M105" s="257"/>
      <c r="N105" s="255" t="s">
        <v>380</v>
      </c>
      <c r="O105" s="256" t="s">
        <v>434</v>
      </c>
      <c r="P105" s="257">
        <v>31</v>
      </c>
      <c r="Q105" s="257"/>
      <c r="R105" s="255" t="s">
        <v>380</v>
      </c>
      <c r="S105" s="256" t="s">
        <v>384</v>
      </c>
      <c r="T105" s="257">
        <v>31</v>
      </c>
      <c r="U105" s="243"/>
      <c r="Y105" s="273"/>
      <c r="Z105" s="273"/>
      <c r="AC105" s="273"/>
      <c r="AD105" s="273"/>
      <c r="AG105" s="273"/>
      <c r="AH105" s="273"/>
      <c r="AK105" s="273"/>
      <c r="AL105" s="273"/>
      <c r="BP105" s="1" t="str">
        <f>IF(DAY_SCH!A103="","",DAY_SCH!A103)</f>
        <v/>
      </c>
    </row>
    <row r="106" spans="1:68">
      <c r="A106" s="9"/>
      <c r="B106" s="260"/>
      <c r="C106" s="261" t="str">
        <f>IF(ISNA(VLOOKUP(C104,D!$C$4:$C$103,1,0)),"","Schedules and Day Schedules can't have same name!")</f>
        <v/>
      </c>
      <c r="D106" s="261"/>
      <c r="E106" s="261"/>
      <c r="F106" s="262"/>
      <c r="G106" s="263" t="str">
        <f>IF(OR(H105&gt;VLOOKUP(G105,D!$G$4:$I$16,3,0),AND(G105=G104,H105&lt;=H104),VLOOKUP(G105,D!$G$4:$H$16,2,0)&lt;VLOOKUP(G104,D!$G$4:$H$16,2,0)),"Must correct date!","")</f>
        <v/>
      </c>
      <c r="H106" s="263"/>
      <c r="I106" s="264"/>
      <c r="J106" s="262"/>
      <c r="K106" s="263" t="str">
        <f>IF(AND(K105=" ",K104=" "),"",IF(OR(L105&gt;VLOOKUP(K105,D!$G$4:$I$16,3,0),AND(K105=K104,L105&lt;=L104),VLOOKUP(K105,D!$G$4:$H$16,2,0)&lt;VLOOKUP(K104,D!$G$4:$H$16,2,0)),"Must correct date!",""))</f>
        <v/>
      </c>
      <c r="L106" s="263"/>
      <c r="M106" s="264"/>
      <c r="N106" s="262"/>
      <c r="O106" s="263" t="str">
        <f>IF(AND(O105=" ",O104=" "),"",IF(OR(P105&gt;VLOOKUP(O105,D!$G$4:$I$16,3,0),AND(O105=O104,P105&lt;=P104),VLOOKUP(O105,D!$G$4:$H$16,2,0)&lt;VLOOKUP(O104,D!$G$4:$H$16,2,0)),"Must correct date!",""))</f>
        <v/>
      </c>
      <c r="P106" s="263"/>
      <c r="Q106" s="264"/>
      <c r="R106" s="262"/>
      <c r="S106" s="265" t="str">
        <f>IF(AND(S105=" ",S104=" "),"",IF(OR(T105&gt;VLOOKUP(S105,D!$G$4:$I$16,3,0),AND(S105=S104,T105&lt;=T104),VLOOKUP(S105,D!$G$4:$H$16,2,0)&lt;VLOOKUP(S104,D!$G$4:$H$16,2,0)),"Must correct date!",""))</f>
        <v/>
      </c>
      <c r="T106" s="265"/>
      <c r="U106" s="243"/>
      <c r="X106" s="273"/>
      <c r="Y106" s="273"/>
      <c r="Z106" s="273"/>
      <c r="AB106" s="273"/>
      <c r="AC106" s="273"/>
      <c r="AD106" s="273"/>
      <c r="AF106" s="273"/>
      <c r="AG106" s="273"/>
      <c r="AH106" s="273"/>
      <c r="AJ106" s="273"/>
      <c r="AK106" s="273"/>
      <c r="AL106" s="273"/>
      <c r="BP106" s="1" t="str">
        <f>IF(DAY_SCH!A104="","",DAY_SCH!A104)</f>
        <v/>
      </c>
    </row>
    <row r="107" spans="1:68">
      <c r="A107" s="9"/>
      <c r="B107" s="260"/>
      <c r="C107" s="261"/>
      <c r="D107" s="261"/>
      <c r="E107" s="261"/>
      <c r="F107" s="267" t="s">
        <v>389</v>
      </c>
      <c r="G107" s="268" t="s">
        <v>390</v>
      </c>
      <c r="H107" s="268"/>
      <c r="I107" s="269"/>
      <c r="J107" s="267" t="str">
        <f t="shared" ref="J107:J116" si="10">$F107</f>
        <v>SUN:</v>
      </c>
      <c r="K107" s="268"/>
      <c r="L107" s="268"/>
      <c r="M107" s="269"/>
      <c r="N107" s="267" t="s">
        <v>389</v>
      </c>
      <c r="O107" s="268"/>
      <c r="P107" s="268"/>
      <c r="Q107" s="269"/>
      <c r="R107" s="267" t="s">
        <v>391</v>
      </c>
      <c r="S107" s="284"/>
      <c r="T107" s="284"/>
      <c r="U107" s="243"/>
      <c r="X107" s="273"/>
      <c r="Y107" s="273"/>
      <c r="Z107" s="273"/>
      <c r="AB107" s="273"/>
      <c r="AC107" s="273"/>
      <c r="AD107" s="273"/>
      <c r="AF107" s="273"/>
      <c r="AG107" s="273"/>
      <c r="AH107" s="273"/>
      <c r="AJ107" s="273"/>
      <c r="AK107" s="273"/>
      <c r="AL107" s="273"/>
      <c r="BP107" s="1" t="str">
        <f>IF(DAY_SCH!A105="","",DAY_SCH!A105)</f>
        <v/>
      </c>
    </row>
    <row r="108" spans="1:68">
      <c r="A108" s="9"/>
      <c r="B108" s="260"/>
      <c r="C108" s="285" t="s">
        <v>395</v>
      </c>
      <c r="D108" s="262"/>
      <c r="E108" s="262"/>
      <c r="F108" s="267" t="s">
        <v>396</v>
      </c>
      <c r="G108" s="268" t="s">
        <v>390</v>
      </c>
      <c r="H108" s="268"/>
      <c r="I108" s="264"/>
      <c r="J108" s="267" t="str">
        <f t="shared" si="10"/>
        <v>MON:</v>
      </c>
      <c r="K108" s="268"/>
      <c r="L108" s="268"/>
      <c r="M108" s="269"/>
      <c r="N108" s="267" t="s">
        <v>396</v>
      </c>
      <c r="O108" s="268"/>
      <c r="P108" s="268"/>
      <c r="Q108" s="269"/>
      <c r="R108" s="267" t="s">
        <v>397</v>
      </c>
      <c r="S108" s="284"/>
      <c r="T108" s="284"/>
      <c r="U108" s="243"/>
      <c r="X108" s="273"/>
      <c r="Y108" s="273"/>
      <c r="Z108" s="273"/>
      <c r="AB108" s="273"/>
      <c r="AC108" s="273"/>
      <c r="AD108" s="273"/>
      <c r="AF108" s="273"/>
      <c r="AG108" s="273"/>
      <c r="AH108" s="273"/>
      <c r="AJ108" s="273"/>
      <c r="AK108" s="273"/>
      <c r="AL108" s="273"/>
      <c r="BP108" s="1" t="str">
        <f>IF(DAY_SCH!A106="","",DAY_SCH!A106)</f>
        <v/>
      </c>
    </row>
    <row r="109" spans="1:68">
      <c r="A109" s="9"/>
      <c r="B109" s="260"/>
      <c r="C109" s="286" t="s">
        <v>420</v>
      </c>
      <c r="D109" s="262"/>
      <c r="E109" s="262"/>
      <c r="F109" s="267" t="s">
        <v>402</v>
      </c>
      <c r="G109" s="268" t="s">
        <v>390</v>
      </c>
      <c r="H109" s="268"/>
      <c r="I109" s="264"/>
      <c r="J109" s="267" t="str">
        <f t="shared" si="10"/>
        <v>TUE:</v>
      </c>
      <c r="K109" s="268"/>
      <c r="L109" s="268"/>
      <c r="M109" s="269"/>
      <c r="N109" s="267" t="s">
        <v>402</v>
      </c>
      <c r="O109" s="268"/>
      <c r="P109" s="268"/>
      <c r="Q109" s="269"/>
      <c r="R109" s="267" t="s">
        <v>403</v>
      </c>
      <c r="S109" s="284"/>
      <c r="T109" s="284"/>
      <c r="U109" s="243"/>
      <c r="X109" s="273"/>
      <c r="Y109" s="273"/>
      <c r="Z109" s="273"/>
      <c r="AB109" s="273"/>
      <c r="AC109" s="273"/>
      <c r="AD109" s="273"/>
      <c r="AF109" s="273"/>
      <c r="AG109" s="273"/>
      <c r="AH109" s="273"/>
      <c r="AJ109" s="273"/>
      <c r="AK109" s="273"/>
      <c r="AL109" s="273"/>
      <c r="BP109" s="1" t="str">
        <f>IF(DAY_SCH!A107="","",DAY_SCH!A107)</f>
        <v/>
      </c>
    </row>
    <row r="110" spans="1:68">
      <c r="A110" s="9"/>
      <c r="B110" s="260"/>
      <c r="C110" s="286"/>
      <c r="D110" s="262"/>
      <c r="E110" s="262"/>
      <c r="F110" s="267" t="s">
        <v>407</v>
      </c>
      <c r="G110" s="268" t="s">
        <v>390</v>
      </c>
      <c r="H110" s="268"/>
      <c r="I110" s="264"/>
      <c r="J110" s="267" t="str">
        <f t="shared" si="10"/>
        <v>WED:</v>
      </c>
      <c r="K110" s="268"/>
      <c r="L110" s="268"/>
      <c r="M110" s="269"/>
      <c r="N110" s="267" t="s">
        <v>407</v>
      </c>
      <c r="O110" s="268"/>
      <c r="P110" s="268"/>
      <c r="Q110" s="269"/>
      <c r="R110" s="267" t="s">
        <v>408</v>
      </c>
      <c r="S110" s="284"/>
      <c r="T110" s="284"/>
      <c r="U110" s="243"/>
      <c r="X110" s="273"/>
      <c r="Y110" s="273"/>
      <c r="Z110" s="273"/>
      <c r="AB110" s="273"/>
      <c r="AC110" s="273"/>
      <c r="AD110" s="273"/>
      <c r="AF110" s="273"/>
      <c r="AG110" s="273"/>
      <c r="AH110" s="273"/>
      <c r="AJ110" s="273"/>
      <c r="AK110" s="273"/>
      <c r="AL110" s="273"/>
      <c r="BP110" s="1" t="str">
        <f>IF(DAY_SCH!A108="","",DAY_SCH!A108)</f>
        <v/>
      </c>
    </row>
    <row r="111" spans="1:68" ht="24">
      <c r="A111" s="9"/>
      <c r="B111" s="260"/>
      <c r="C111" s="274" t="s">
        <v>410</v>
      </c>
      <c r="D111" s="262"/>
      <c r="E111" s="262"/>
      <c r="F111" s="267" t="s">
        <v>411</v>
      </c>
      <c r="G111" s="268" t="s">
        <v>390</v>
      </c>
      <c r="H111" s="268"/>
      <c r="I111" s="264"/>
      <c r="J111" s="267" t="str">
        <f t="shared" si="10"/>
        <v>THU:</v>
      </c>
      <c r="K111" s="268"/>
      <c r="L111" s="268"/>
      <c r="M111" s="269"/>
      <c r="N111" s="267" t="s">
        <v>411</v>
      </c>
      <c r="O111" s="268"/>
      <c r="P111" s="268"/>
      <c r="Q111" s="269"/>
      <c r="R111" s="267" t="s">
        <v>412</v>
      </c>
      <c r="S111" s="284"/>
      <c r="T111" s="284"/>
      <c r="U111" s="243"/>
      <c r="X111" s="273"/>
      <c r="Y111" s="273"/>
      <c r="Z111" s="273"/>
      <c r="AB111" s="273"/>
      <c r="AC111" s="273"/>
      <c r="AD111" s="273"/>
      <c r="AF111" s="273"/>
      <c r="AG111" s="273"/>
      <c r="AH111" s="273"/>
      <c r="AJ111" s="273"/>
      <c r="AK111" s="273"/>
      <c r="AL111" s="273"/>
      <c r="BP111" s="1" t="str">
        <f>IF(DAY_SCH!A109="","",DAY_SCH!A109)</f>
        <v/>
      </c>
    </row>
    <row r="112" spans="1:68">
      <c r="A112" s="9"/>
      <c r="B112" s="260"/>
      <c r="C112" s="274"/>
      <c r="D112" s="262"/>
      <c r="E112" s="262"/>
      <c r="F112" s="267" t="s">
        <v>414</v>
      </c>
      <c r="G112" s="268" t="s">
        <v>390</v>
      </c>
      <c r="H112" s="268"/>
      <c r="I112" s="264"/>
      <c r="J112" s="267" t="str">
        <f t="shared" si="10"/>
        <v>FRI:</v>
      </c>
      <c r="K112" s="268"/>
      <c r="L112" s="268"/>
      <c r="M112" s="269"/>
      <c r="N112" s="267" t="s">
        <v>414</v>
      </c>
      <c r="O112" s="268"/>
      <c r="P112" s="268"/>
      <c r="Q112" s="269"/>
      <c r="R112" s="267" t="s">
        <v>415</v>
      </c>
      <c r="S112" s="284"/>
      <c r="T112" s="284"/>
      <c r="U112" s="243"/>
      <c r="X112" s="273"/>
      <c r="Y112" s="273"/>
      <c r="Z112" s="273"/>
      <c r="AB112" s="273"/>
      <c r="AC112" s="273"/>
      <c r="AD112" s="273"/>
      <c r="AF112" s="273"/>
      <c r="AG112" s="273"/>
      <c r="AH112" s="273"/>
      <c r="AJ112" s="273"/>
      <c r="AK112" s="273"/>
      <c r="AL112" s="273"/>
      <c r="BP112" s="1" t="str">
        <f>IF(DAY_SCH!A110="","",DAY_SCH!A110)</f>
        <v/>
      </c>
    </row>
    <row r="113" spans="1:68">
      <c r="A113" s="9"/>
      <c r="B113" s="260"/>
      <c r="C113" s="238" t="str">
        <f>IF(AND(C109="Other",OR(D113=" ",D113="")),"Select Type →",IF(AND(NOT(C109="Other"),AND(NOT(D113=" "),NOT(D113=""))),"Deselect Type→",VLOOKUP(C109,$BL$6:$BM$19,2,0)))</f>
        <v>Fraction</v>
      </c>
      <c r="D113" s="275"/>
      <c r="E113" s="275"/>
      <c r="F113" s="267" t="s">
        <v>418</v>
      </c>
      <c r="G113" s="268" t="s">
        <v>390</v>
      </c>
      <c r="H113" s="268"/>
      <c r="I113" s="264"/>
      <c r="J113" s="267" t="str">
        <f t="shared" si="10"/>
        <v>SAT:</v>
      </c>
      <c r="K113" s="268"/>
      <c r="L113" s="268"/>
      <c r="M113" s="269"/>
      <c r="N113" s="267" t="s">
        <v>418</v>
      </c>
      <c r="O113" s="268"/>
      <c r="P113" s="268"/>
      <c r="Q113" s="269"/>
      <c r="R113" s="267" t="s">
        <v>419</v>
      </c>
      <c r="S113" s="284"/>
      <c r="T113" s="284"/>
      <c r="U113" s="243"/>
      <c r="X113" s="273"/>
      <c r="Y113" s="273"/>
      <c r="Z113" s="273"/>
      <c r="AB113" s="273"/>
      <c r="AC113" s="273"/>
      <c r="AD113" s="273"/>
      <c r="AF113" s="273"/>
      <c r="AG113" s="273"/>
      <c r="AH113" s="273"/>
      <c r="AJ113" s="273"/>
      <c r="AK113" s="273"/>
      <c r="AL113" s="273"/>
      <c r="BP113" s="1" t="str">
        <f>IF(DAY_SCH!A111="","",DAY_SCH!A111)</f>
        <v/>
      </c>
    </row>
    <row r="114" spans="1:68">
      <c r="A114" s="9"/>
      <c r="B114" s="260"/>
      <c r="C114" s="238"/>
      <c r="D114" s="275"/>
      <c r="E114" s="275"/>
      <c r="F114" s="267" t="s">
        <v>421</v>
      </c>
      <c r="G114" s="268" t="s">
        <v>390</v>
      </c>
      <c r="H114" s="268"/>
      <c r="I114" s="264"/>
      <c r="J114" s="267" t="str">
        <f t="shared" si="10"/>
        <v>HOL:</v>
      </c>
      <c r="K114" s="268"/>
      <c r="L114" s="268"/>
      <c r="M114" s="269"/>
      <c r="N114" s="267" t="s">
        <v>421</v>
      </c>
      <c r="O114" s="268"/>
      <c r="P114" s="268"/>
      <c r="Q114" s="269"/>
      <c r="R114" s="267" t="s">
        <v>391</v>
      </c>
      <c r="S114" s="284"/>
      <c r="T114" s="284"/>
      <c r="U114" s="243"/>
      <c r="X114" s="273"/>
      <c r="Y114" s="273"/>
      <c r="Z114" s="273"/>
      <c r="AB114" s="273"/>
      <c r="AC114" s="273"/>
      <c r="AD114" s="273"/>
      <c r="AF114" s="273"/>
      <c r="AG114" s="273"/>
      <c r="AH114" s="273"/>
      <c r="AJ114" s="273"/>
      <c r="AK114" s="273"/>
      <c r="AL114" s="273"/>
      <c r="BP114" s="1" t="str">
        <f>IF(DAY_SCH!A112="","",DAY_SCH!A112)</f>
        <v/>
      </c>
    </row>
    <row r="115" spans="1:68">
      <c r="A115" s="9"/>
      <c r="B115" s="260"/>
      <c r="C115" s="261" t="str">
        <f>IF(ISNA(VLOOKUP(C113,D!$C$4:$C$103,1,0)),"",IF(VLOOKUP(C113,D!$C$4:$C$203,1,0)="","","Schedules and Day Schedules can't have same name!"))</f>
        <v/>
      </c>
      <c r="D115" s="261"/>
      <c r="E115" s="261"/>
      <c r="F115" s="267" t="s">
        <v>424</v>
      </c>
      <c r="G115" s="268" t="s">
        <v>425</v>
      </c>
      <c r="H115" s="268"/>
      <c r="I115" s="264"/>
      <c r="J115" s="267" t="str">
        <f t="shared" si="10"/>
        <v>HDD:</v>
      </c>
      <c r="K115" s="268"/>
      <c r="L115" s="268"/>
      <c r="M115" s="269"/>
      <c r="N115" s="267" t="s">
        <v>424</v>
      </c>
      <c r="O115" s="268"/>
      <c r="P115" s="268"/>
      <c r="Q115" s="269"/>
      <c r="R115" s="267" t="s">
        <v>426</v>
      </c>
      <c r="S115" s="284"/>
      <c r="T115" s="284"/>
      <c r="U115" s="243"/>
      <c r="X115" s="273"/>
      <c r="AB115" s="273"/>
      <c r="AF115" s="273"/>
      <c r="AJ115" s="273"/>
      <c r="BP115" s="1" t="str">
        <f>IF(DAY_SCH!A113="","",DAY_SCH!A113)</f>
        <v/>
      </c>
    </row>
    <row r="116" spans="1:68">
      <c r="A116" s="9"/>
      <c r="B116" s="260"/>
      <c r="C116" s="261"/>
      <c r="D116" s="261"/>
      <c r="E116" s="261"/>
      <c r="F116" s="267" t="s">
        <v>429</v>
      </c>
      <c r="G116" s="268" t="s">
        <v>430</v>
      </c>
      <c r="H116" s="268"/>
      <c r="I116" s="269"/>
      <c r="J116" s="267" t="str">
        <f t="shared" si="10"/>
        <v>CDD:</v>
      </c>
      <c r="K116" s="268"/>
      <c r="L116" s="268"/>
      <c r="M116" s="269"/>
      <c r="N116" s="267" t="s">
        <v>429</v>
      </c>
      <c r="O116" s="268"/>
      <c r="P116" s="268"/>
      <c r="Q116" s="269"/>
      <c r="R116" s="267" t="s">
        <v>431</v>
      </c>
      <c r="S116" s="284"/>
      <c r="T116" s="284"/>
      <c r="U116" s="243"/>
      <c r="BP116" s="1" t="str">
        <f>IF(DAY_SCH!A114="","",DAY_SCH!A114)</f>
        <v/>
      </c>
    </row>
    <row r="117" spans="1:68">
      <c r="A117" s="9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276"/>
      <c r="R117" s="276"/>
      <c r="S117" s="276"/>
      <c r="T117" s="276"/>
      <c r="U117" s="243"/>
      <c r="BP117" s="1" t="str">
        <f>IF(DAY_SCH!A115="","",DAY_SCH!A115)</f>
        <v/>
      </c>
    </row>
    <row r="118" spans="1:68">
      <c r="A118" s="9">
        <f>IF(C104="",A104+1,IF(OR(AND(G105="December",H105=31),AND(K105="December",L105=31),AND(O105="December",P105=31),AND(S105="December",T105=31)),A104+1,A104))</f>
        <v>9</v>
      </c>
      <c r="B118" s="282" t="s">
        <v>376</v>
      </c>
      <c r="C118" s="283" t="s">
        <v>377</v>
      </c>
      <c r="D118" s="283"/>
      <c r="E118" s="283"/>
      <c r="F118" s="249" t="s">
        <v>378</v>
      </c>
      <c r="G118" s="250" t="s">
        <v>379</v>
      </c>
      <c r="H118" s="251">
        <v>1</v>
      </c>
      <c r="I118" s="251"/>
      <c r="J118" s="249" t="s">
        <v>378</v>
      </c>
      <c r="K118" s="252" t="str">
        <f>IF(AND(G119="December",H119=31)," ",IF(VLOOKUP(G119,D!$G$5:$I$16,3,0)=H119,LOOKUP(VLOOKUP(G119,D!$G$4:$H$16,2,0)+1,D!$H$4:$H$16,D!$G$4:$G$16),G119))</f>
        <v>April</v>
      </c>
      <c r="L118" s="251">
        <f>IF(K118=" "," ",IF(K118=G119,H119+1,1))</f>
        <v>26</v>
      </c>
      <c r="M118" s="251"/>
      <c r="N118" s="249" t="s">
        <v>378</v>
      </c>
      <c r="O118" s="250" t="str">
        <f>IF(OR(K119=" ",AND(K119="December",L119=31))," ",IF(VLOOKUP(K119,D!$G$5:$I$16,3,0)=L119,LOOKUP(VLOOKUP(K119,D!$G$4:$H$16,2,0)+1,D!$H$4:$H$16,D!$G$4:$G$16),K119))</f>
        <v>June</v>
      </c>
      <c r="P118" s="251">
        <f>IF(O118=" "," ",IF(O118=K119,L119+1,1))</f>
        <v>1</v>
      </c>
      <c r="Q118" s="251"/>
      <c r="R118" s="249" t="s">
        <v>378</v>
      </c>
      <c r="S118" s="250" t="str">
        <f>IF(OR(O119=" ",AND(O119="December",P119=31))," ",IF(VLOOKUP(O119,D!$G$5:$I$16,3,0)=P119,LOOKUP(VLOOKUP(O119,D!$G$4:$H$16,2,0)+1,D!$H$4:$H$16,D!$G$4:$G$16),O119))</f>
        <v>August</v>
      </c>
      <c r="T118" s="251">
        <f>IF(S118=" "," ",IF(S118=O119,P119+1,1))</f>
        <v>1</v>
      </c>
      <c r="U118" s="243"/>
      <c r="BP118" s="1" t="str">
        <f>IF(DAY_SCH!A116="","",DAY_SCH!A116)</f>
        <v/>
      </c>
    </row>
    <row r="119" spans="1:68" ht="28.5">
      <c r="A119" s="9"/>
      <c r="B119" s="282"/>
      <c r="C119" s="283"/>
      <c r="D119" s="283"/>
      <c r="E119" s="283"/>
      <c r="F119" s="255" t="s">
        <v>380</v>
      </c>
      <c r="G119" s="256" t="s">
        <v>382</v>
      </c>
      <c r="H119" s="257">
        <v>25</v>
      </c>
      <c r="I119" s="257"/>
      <c r="J119" s="255" t="s">
        <v>380</v>
      </c>
      <c r="K119" s="256" t="s">
        <v>433</v>
      </c>
      <c r="L119" s="257">
        <v>31</v>
      </c>
      <c r="M119" s="257"/>
      <c r="N119" s="255" t="s">
        <v>380</v>
      </c>
      <c r="O119" s="256" t="s">
        <v>434</v>
      </c>
      <c r="P119" s="257">
        <v>31</v>
      </c>
      <c r="Q119" s="257"/>
      <c r="R119" s="255" t="s">
        <v>380</v>
      </c>
      <c r="S119" s="256" t="s">
        <v>384</v>
      </c>
      <c r="T119" s="257">
        <v>31</v>
      </c>
      <c r="U119" s="243"/>
      <c r="Y119" s="273"/>
      <c r="Z119" s="273"/>
      <c r="AC119" s="273"/>
      <c r="AD119" s="273"/>
      <c r="AG119" s="273"/>
      <c r="AH119" s="273"/>
      <c r="AK119" s="273"/>
      <c r="AL119" s="273"/>
      <c r="BP119" s="1" t="str">
        <f>IF(DAY_SCH!A117="","",DAY_SCH!A117)</f>
        <v/>
      </c>
    </row>
    <row r="120" spans="1:68">
      <c r="A120" s="9"/>
      <c r="B120" s="260"/>
      <c r="C120" s="261" t="str">
        <f>IF(ISNA(VLOOKUP(C118,D!$C$4:$C$103,1,0)),"","Schedules and Day Schedules can't have same name!")</f>
        <v/>
      </c>
      <c r="D120" s="261"/>
      <c r="E120" s="261"/>
      <c r="F120" s="262"/>
      <c r="G120" s="263" t="str">
        <f>IF(OR(H119&gt;VLOOKUP(G119,D!$G$4:$I$16,3,0),AND(G119=G118,H119&lt;=H118),VLOOKUP(G119,D!$G$4:$H$16,2,0)&lt;VLOOKUP(G118,D!$G$4:$H$16,2,0)),"Must correct date!","")</f>
        <v/>
      </c>
      <c r="H120" s="263"/>
      <c r="I120" s="264"/>
      <c r="J120" s="262"/>
      <c r="K120" s="263" t="str">
        <f>IF(AND(K119=" ",K118=" "),"",IF(OR(L119&gt;VLOOKUP(K119,D!$G$4:$I$16,3,0),AND(K119=K118,L119&lt;=L118),VLOOKUP(K119,D!$G$4:$H$16,2,0)&lt;VLOOKUP(K118,D!$G$4:$H$16,2,0)),"Must correct date!",""))</f>
        <v/>
      </c>
      <c r="L120" s="263"/>
      <c r="M120" s="264"/>
      <c r="N120" s="262"/>
      <c r="O120" s="263" t="str">
        <f>IF(AND(O119=" ",O118=" "),"",IF(OR(P119&gt;VLOOKUP(O119,D!$G$4:$I$16,3,0),AND(O119=O118,P119&lt;=P118),VLOOKUP(O119,D!$G$4:$H$16,2,0)&lt;VLOOKUP(O118,D!$G$4:$H$16,2,0)),"Must correct date!",""))</f>
        <v/>
      </c>
      <c r="P120" s="263"/>
      <c r="Q120" s="264"/>
      <c r="R120" s="262"/>
      <c r="S120" s="265" t="str">
        <f>IF(AND(S119=" ",S118=" "),"",IF(OR(T119&gt;VLOOKUP(S119,D!$G$4:$I$16,3,0),AND(S119=S118,T119&lt;=T118),VLOOKUP(S119,D!$G$4:$H$16,2,0)&lt;VLOOKUP(S118,D!$G$4:$H$16,2,0)),"Must correct date!",""))</f>
        <v/>
      </c>
      <c r="T120" s="265"/>
      <c r="U120" s="243"/>
      <c r="X120" s="273"/>
      <c r="Y120" s="273"/>
      <c r="Z120" s="273"/>
      <c r="AB120" s="273"/>
      <c r="AC120" s="273"/>
      <c r="AD120" s="273"/>
      <c r="AF120" s="273"/>
      <c r="AG120" s="273"/>
      <c r="AH120" s="273"/>
      <c r="AJ120" s="273"/>
      <c r="AK120" s="273"/>
      <c r="AL120" s="273"/>
      <c r="BP120" s="1" t="str">
        <f>IF(DAY_SCH!A118="","",DAY_SCH!A118)</f>
        <v/>
      </c>
    </row>
    <row r="121" spans="1:68">
      <c r="A121" s="9"/>
      <c r="B121" s="260"/>
      <c r="C121" s="261"/>
      <c r="D121" s="261"/>
      <c r="E121" s="261"/>
      <c r="F121" s="267" t="s">
        <v>389</v>
      </c>
      <c r="G121" s="268" t="s">
        <v>390</v>
      </c>
      <c r="H121" s="268"/>
      <c r="I121" s="269"/>
      <c r="J121" s="267" t="str">
        <f t="shared" ref="J121:J130" si="11">$F121</f>
        <v>SUN:</v>
      </c>
      <c r="K121" s="268"/>
      <c r="L121" s="268"/>
      <c r="M121" s="269"/>
      <c r="N121" s="267" t="s">
        <v>389</v>
      </c>
      <c r="O121" s="268"/>
      <c r="P121" s="268"/>
      <c r="Q121" s="269"/>
      <c r="R121" s="267" t="s">
        <v>391</v>
      </c>
      <c r="S121" s="284"/>
      <c r="T121" s="284"/>
      <c r="U121" s="243"/>
      <c r="X121" s="273"/>
      <c r="Y121" s="273"/>
      <c r="Z121" s="273"/>
      <c r="AB121" s="273"/>
      <c r="AC121" s="273"/>
      <c r="AD121" s="273"/>
      <c r="AF121" s="273"/>
      <c r="AG121" s="273"/>
      <c r="AH121" s="273"/>
      <c r="AJ121" s="273"/>
      <c r="AK121" s="273"/>
      <c r="AL121" s="273"/>
      <c r="BP121" s="1" t="str">
        <f>IF(DAY_SCH!A119="","",DAY_SCH!A119)</f>
        <v/>
      </c>
    </row>
    <row r="122" spans="1:68">
      <c r="A122" s="9"/>
      <c r="B122" s="260"/>
      <c r="C122" s="285" t="s">
        <v>395</v>
      </c>
      <c r="D122" s="262"/>
      <c r="E122" s="262"/>
      <c r="F122" s="267" t="s">
        <v>396</v>
      </c>
      <c r="G122" s="268" t="s">
        <v>390</v>
      </c>
      <c r="H122" s="268"/>
      <c r="I122" s="264"/>
      <c r="J122" s="267" t="str">
        <f t="shared" si="11"/>
        <v>MON:</v>
      </c>
      <c r="K122" s="268"/>
      <c r="L122" s="268"/>
      <c r="M122" s="269"/>
      <c r="N122" s="267" t="s">
        <v>396</v>
      </c>
      <c r="O122" s="268"/>
      <c r="P122" s="268"/>
      <c r="Q122" s="269"/>
      <c r="R122" s="267" t="s">
        <v>397</v>
      </c>
      <c r="S122" s="284"/>
      <c r="T122" s="284"/>
      <c r="U122" s="243"/>
      <c r="X122" s="273"/>
      <c r="Y122" s="273"/>
      <c r="Z122" s="273"/>
      <c r="AB122" s="273"/>
      <c r="AC122" s="273"/>
      <c r="AD122" s="273"/>
      <c r="AF122" s="273"/>
      <c r="AG122" s="273"/>
      <c r="AH122" s="273"/>
      <c r="AJ122" s="273"/>
      <c r="AK122" s="273"/>
      <c r="AL122" s="273"/>
      <c r="BP122" s="1" t="str">
        <f>IF(DAY_SCH!A120="","",DAY_SCH!A120)</f>
        <v/>
      </c>
    </row>
    <row r="123" spans="1:68">
      <c r="A123" s="9"/>
      <c r="B123" s="260"/>
      <c r="C123" s="286" t="s">
        <v>420</v>
      </c>
      <c r="D123" s="262"/>
      <c r="E123" s="262"/>
      <c r="F123" s="267" t="s">
        <v>402</v>
      </c>
      <c r="G123" s="268" t="s">
        <v>390</v>
      </c>
      <c r="H123" s="268"/>
      <c r="I123" s="264"/>
      <c r="J123" s="267" t="str">
        <f t="shared" si="11"/>
        <v>TUE:</v>
      </c>
      <c r="K123" s="268"/>
      <c r="L123" s="268"/>
      <c r="M123" s="269"/>
      <c r="N123" s="267" t="s">
        <v>402</v>
      </c>
      <c r="O123" s="268"/>
      <c r="P123" s="268"/>
      <c r="Q123" s="269"/>
      <c r="R123" s="267" t="s">
        <v>403</v>
      </c>
      <c r="S123" s="284"/>
      <c r="T123" s="284"/>
      <c r="U123" s="243"/>
      <c r="X123" s="273"/>
      <c r="Y123" s="273"/>
      <c r="Z123" s="273"/>
      <c r="AB123" s="273"/>
      <c r="AC123" s="273"/>
      <c r="AD123" s="273"/>
      <c r="AF123" s="273"/>
      <c r="AG123" s="273"/>
      <c r="AH123" s="273"/>
      <c r="AJ123" s="273"/>
      <c r="AK123" s="273"/>
      <c r="AL123" s="273"/>
      <c r="BP123" s="1" t="str">
        <f>IF(DAY_SCH!A121="","",DAY_SCH!A121)</f>
        <v/>
      </c>
    </row>
    <row r="124" spans="1:68">
      <c r="A124" s="9"/>
      <c r="B124" s="260"/>
      <c r="C124" s="286"/>
      <c r="D124" s="262"/>
      <c r="E124" s="262"/>
      <c r="F124" s="267" t="s">
        <v>407</v>
      </c>
      <c r="G124" s="268" t="s">
        <v>390</v>
      </c>
      <c r="H124" s="268"/>
      <c r="I124" s="264"/>
      <c r="J124" s="267" t="str">
        <f t="shared" si="11"/>
        <v>WED:</v>
      </c>
      <c r="K124" s="268"/>
      <c r="L124" s="268"/>
      <c r="M124" s="269"/>
      <c r="N124" s="267" t="s">
        <v>407</v>
      </c>
      <c r="O124" s="268"/>
      <c r="P124" s="268"/>
      <c r="Q124" s="269"/>
      <c r="R124" s="267" t="s">
        <v>408</v>
      </c>
      <c r="S124" s="284"/>
      <c r="T124" s="284"/>
      <c r="U124" s="243"/>
      <c r="X124" s="273"/>
      <c r="Y124" s="273"/>
      <c r="Z124" s="273"/>
      <c r="AB124" s="273"/>
      <c r="AC124" s="273"/>
      <c r="AD124" s="273"/>
      <c r="AF124" s="273"/>
      <c r="AG124" s="273"/>
      <c r="AH124" s="273"/>
      <c r="AJ124" s="273"/>
      <c r="AK124" s="273"/>
      <c r="AL124" s="273"/>
      <c r="BP124" s="1" t="str">
        <f>IF(DAY_SCH!A122="","",DAY_SCH!A122)</f>
        <v/>
      </c>
    </row>
    <row r="125" spans="1:68" ht="24">
      <c r="A125" s="9"/>
      <c r="B125" s="260"/>
      <c r="C125" s="274" t="s">
        <v>410</v>
      </c>
      <c r="D125" s="262"/>
      <c r="E125" s="262"/>
      <c r="F125" s="267" t="s">
        <v>411</v>
      </c>
      <c r="G125" s="268" t="s">
        <v>390</v>
      </c>
      <c r="H125" s="268"/>
      <c r="I125" s="264"/>
      <c r="J125" s="267" t="str">
        <f t="shared" si="11"/>
        <v>THU:</v>
      </c>
      <c r="K125" s="268"/>
      <c r="L125" s="268"/>
      <c r="M125" s="269"/>
      <c r="N125" s="267" t="s">
        <v>411</v>
      </c>
      <c r="O125" s="268"/>
      <c r="P125" s="268"/>
      <c r="Q125" s="269"/>
      <c r="R125" s="267" t="s">
        <v>412</v>
      </c>
      <c r="S125" s="284"/>
      <c r="T125" s="284"/>
      <c r="U125" s="243"/>
      <c r="X125" s="273"/>
      <c r="Y125" s="273"/>
      <c r="Z125" s="273"/>
      <c r="AB125" s="273"/>
      <c r="AC125" s="273"/>
      <c r="AD125" s="273"/>
      <c r="AF125" s="273"/>
      <c r="AG125" s="273"/>
      <c r="AH125" s="273"/>
      <c r="AJ125" s="273"/>
      <c r="AK125" s="273"/>
      <c r="AL125" s="273"/>
      <c r="BP125" s="1" t="str">
        <f>IF(DAY_SCH!A123="","",DAY_SCH!A123)</f>
        <v/>
      </c>
    </row>
    <row r="126" spans="1:68">
      <c r="A126" s="9"/>
      <c r="B126" s="260"/>
      <c r="C126" s="274"/>
      <c r="D126" s="262"/>
      <c r="E126" s="262"/>
      <c r="F126" s="267" t="s">
        <v>414</v>
      </c>
      <c r="G126" s="268" t="s">
        <v>390</v>
      </c>
      <c r="H126" s="268"/>
      <c r="I126" s="264"/>
      <c r="J126" s="267" t="str">
        <f t="shared" si="11"/>
        <v>FRI:</v>
      </c>
      <c r="K126" s="268"/>
      <c r="L126" s="268"/>
      <c r="M126" s="269"/>
      <c r="N126" s="267" t="s">
        <v>414</v>
      </c>
      <c r="O126" s="268"/>
      <c r="P126" s="268"/>
      <c r="Q126" s="269"/>
      <c r="R126" s="267" t="s">
        <v>415</v>
      </c>
      <c r="S126" s="284"/>
      <c r="T126" s="284"/>
      <c r="U126" s="243"/>
      <c r="X126" s="273"/>
      <c r="Y126" s="273"/>
      <c r="Z126" s="273"/>
      <c r="AB126" s="273"/>
      <c r="AC126" s="273"/>
      <c r="AD126" s="273"/>
      <c r="AF126" s="273"/>
      <c r="AG126" s="273"/>
      <c r="AH126" s="273"/>
      <c r="AJ126" s="273"/>
      <c r="AK126" s="273"/>
      <c r="AL126" s="273"/>
      <c r="BP126" s="1" t="str">
        <f>IF(DAY_SCH!A124="","",DAY_SCH!A124)</f>
        <v/>
      </c>
    </row>
    <row r="127" spans="1:68">
      <c r="A127" s="9"/>
      <c r="B127" s="260"/>
      <c r="C127" s="238" t="str">
        <f>IF(AND(C123="Other",OR(D127=" ",D127="")),"Select Type →",IF(AND(NOT(C123="Other"),AND(NOT(D127=" "),NOT(D127=""))),"Deselect Type→",VLOOKUP(C123,$BL$6:$BM$19,2,0)))</f>
        <v>Fraction</v>
      </c>
      <c r="D127" s="275"/>
      <c r="E127" s="275"/>
      <c r="F127" s="267" t="s">
        <v>418</v>
      </c>
      <c r="G127" s="268" t="s">
        <v>390</v>
      </c>
      <c r="H127" s="268"/>
      <c r="I127" s="264"/>
      <c r="J127" s="267" t="str">
        <f t="shared" si="11"/>
        <v>SAT:</v>
      </c>
      <c r="K127" s="268"/>
      <c r="L127" s="268"/>
      <c r="M127" s="269"/>
      <c r="N127" s="267" t="s">
        <v>418</v>
      </c>
      <c r="O127" s="268"/>
      <c r="P127" s="268"/>
      <c r="Q127" s="269"/>
      <c r="R127" s="267" t="s">
        <v>419</v>
      </c>
      <c r="S127" s="284"/>
      <c r="T127" s="284"/>
      <c r="U127" s="243"/>
      <c r="X127" s="273"/>
      <c r="Y127" s="273"/>
      <c r="Z127" s="273"/>
      <c r="AB127" s="273"/>
      <c r="AC127" s="273"/>
      <c r="AD127" s="273"/>
      <c r="AF127" s="273"/>
      <c r="AG127" s="273"/>
      <c r="AH127" s="273"/>
      <c r="AJ127" s="273"/>
      <c r="AK127" s="273"/>
      <c r="AL127" s="273"/>
      <c r="BP127" s="1" t="str">
        <f>IF(DAY_SCH!A125="","",DAY_SCH!A125)</f>
        <v/>
      </c>
    </row>
    <row r="128" spans="1:68">
      <c r="A128" s="9"/>
      <c r="B128" s="260"/>
      <c r="C128" s="238"/>
      <c r="D128" s="275"/>
      <c r="E128" s="275"/>
      <c r="F128" s="267" t="s">
        <v>421</v>
      </c>
      <c r="G128" s="268" t="s">
        <v>390</v>
      </c>
      <c r="H128" s="268"/>
      <c r="I128" s="264"/>
      <c r="J128" s="267" t="str">
        <f t="shared" si="11"/>
        <v>HOL:</v>
      </c>
      <c r="K128" s="268"/>
      <c r="L128" s="268"/>
      <c r="M128" s="269"/>
      <c r="N128" s="267" t="s">
        <v>421</v>
      </c>
      <c r="O128" s="268"/>
      <c r="P128" s="268"/>
      <c r="Q128" s="269"/>
      <c r="R128" s="267" t="s">
        <v>391</v>
      </c>
      <c r="S128" s="284"/>
      <c r="T128" s="284"/>
      <c r="U128" s="243"/>
      <c r="X128" s="273"/>
      <c r="Y128" s="273"/>
      <c r="Z128" s="273"/>
      <c r="AB128" s="273"/>
      <c r="AC128" s="273"/>
      <c r="AD128" s="273"/>
      <c r="AF128" s="273"/>
      <c r="AG128" s="273"/>
      <c r="AH128" s="273"/>
      <c r="AJ128" s="273"/>
      <c r="AK128" s="273"/>
      <c r="AL128" s="273"/>
      <c r="BP128" s="1" t="str">
        <f>IF(DAY_SCH!A126="","",DAY_SCH!A126)</f>
        <v/>
      </c>
    </row>
    <row r="129" spans="1:68">
      <c r="A129" s="9"/>
      <c r="B129" s="260"/>
      <c r="C129" s="261" t="str">
        <f>IF(ISNA(VLOOKUP(C127,D!$C$4:$C$103,1,0)),"",IF(VLOOKUP(C127,D!$C$4:$C$203,1,0)="","","Schedules and Day Schedules can't have same name!"))</f>
        <v/>
      </c>
      <c r="D129" s="261"/>
      <c r="E129" s="261"/>
      <c r="F129" s="267" t="s">
        <v>424</v>
      </c>
      <c r="G129" s="268" t="s">
        <v>425</v>
      </c>
      <c r="H129" s="268"/>
      <c r="I129" s="264"/>
      <c r="J129" s="267" t="str">
        <f t="shared" si="11"/>
        <v>HDD:</v>
      </c>
      <c r="K129" s="268"/>
      <c r="L129" s="268"/>
      <c r="M129" s="269"/>
      <c r="N129" s="267" t="s">
        <v>424</v>
      </c>
      <c r="O129" s="268"/>
      <c r="P129" s="268"/>
      <c r="Q129" s="269"/>
      <c r="R129" s="267" t="s">
        <v>426</v>
      </c>
      <c r="S129" s="284"/>
      <c r="T129" s="284"/>
      <c r="U129" s="243"/>
      <c r="X129" s="273"/>
      <c r="AB129" s="273"/>
      <c r="AF129" s="273"/>
      <c r="AJ129" s="273"/>
      <c r="BP129" s="1" t="str">
        <f>IF(DAY_SCH!A127="","",DAY_SCH!A127)</f>
        <v/>
      </c>
    </row>
    <row r="130" spans="1:68">
      <c r="A130" s="9"/>
      <c r="B130" s="260"/>
      <c r="C130" s="261"/>
      <c r="D130" s="261"/>
      <c r="E130" s="261"/>
      <c r="F130" s="267" t="s">
        <v>429</v>
      </c>
      <c r="G130" s="268" t="s">
        <v>430</v>
      </c>
      <c r="H130" s="268"/>
      <c r="I130" s="269"/>
      <c r="J130" s="267" t="str">
        <f t="shared" si="11"/>
        <v>CDD:</v>
      </c>
      <c r="K130" s="268"/>
      <c r="L130" s="268"/>
      <c r="M130" s="269"/>
      <c r="N130" s="267" t="s">
        <v>429</v>
      </c>
      <c r="O130" s="268"/>
      <c r="P130" s="268"/>
      <c r="Q130" s="269"/>
      <c r="R130" s="267" t="s">
        <v>431</v>
      </c>
      <c r="S130" s="284"/>
      <c r="T130" s="284"/>
      <c r="U130" s="243"/>
      <c r="BP130" s="1" t="str">
        <f>IF(DAY_SCH!A128="","",DAY_SCH!A128)</f>
        <v/>
      </c>
    </row>
    <row r="131" spans="1:68">
      <c r="A131" s="9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43"/>
      <c r="BP131" s="1" t="str">
        <f>IF(DAY_SCH!A129="","",DAY_SCH!A129)</f>
        <v/>
      </c>
    </row>
    <row r="132" spans="1:68">
      <c r="A132" s="9">
        <f>IF(C118="",A118+1,IF(OR(AND(G119="December",H119=31),AND(K119="December",L119=31),AND(O119="December",P119=31),AND(S119="December",T119=31)),A118+1,A118))</f>
        <v>10</v>
      </c>
      <c r="B132" s="282" t="s">
        <v>376</v>
      </c>
      <c r="C132" s="283" t="s">
        <v>377</v>
      </c>
      <c r="D132" s="283"/>
      <c r="E132" s="283"/>
      <c r="F132" s="249" t="s">
        <v>378</v>
      </c>
      <c r="G132" s="250" t="s">
        <v>379</v>
      </c>
      <c r="H132" s="251">
        <v>1</v>
      </c>
      <c r="I132" s="251"/>
      <c r="J132" s="249" t="s">
        <v>378</v>
      </c>
      <c r="K132" s="252" t="str">
        <f>IF(AND(G133="December",H133=31)," ",IF(VLOOKUP(G133,D!$G$5:$I$16,3,0)=H133,LOOKUP(VLOOKUP(G133,D!$G$4:$H$16,2,0)+1,D!$H$4:$H$16,D!$G$4:$G$16),G133))</f>
        <v>April</v>
      </c>
      <c r="L132" s="251">
        <f>IF(K132=" "," ",IF(K132=G133,H133+1,1))</f>
        <v>26</v>
      </c>
      <c r="M132" s="251"/>
      <c r="N132" s="249" t="s">
        <v>378</v>
      </c>
      <c r="O132" s="250" t="str">
        <f>IF(OR(K133=" ",AND(K133="December",L133=31))," ",IF(VLOOKUP(K133,D!$G$5:$I$16,3,0)=L133,LOOKUP(VLOOKUP(K133,D!$G$4:$H$16,2,0)+1,D!$H$4:$H$16,D!$G$4:$G$16),K133))</f>
        <v>June</v>
      </c>
      <c r="P132" s="251">
        <f>IF(O132=" "," ",IF(O132=K133,L133+1,1))</f>
        <v>1</v>
      </c>
      <c r="Q132" s="251"/>
      <c r="R132" s="249" t="s">
        <v>378</v>
      </c>
      <c r="S132" s="250" t="str">
        <f>IF(OR(O133=" ",AND(O133="December",P133=31))," ",IF(VLOOKUP(O133,D!$G$5:$I$16,3,0)=P133,LOOKUP(VLOOKUP(O133,D!$G$4:$H$16,2,0)+1,D!$H$4:$H$16,D!$G$4:$G$16),O133))</f>
        <v>August</v>
      </c>
      <c r="T132" s="251">
        <f>IF(S132=" "," ",IF(S132=O133,P133+1,1))</f>
        <v>1</v>
      </c>
      <c r="U132" s="243"/>
      <c r="BP132" s="1" t="str">
        <f>IF(DAY_SCH!A130="","",DAY_SCH!A130)</f>
        <v/>
      </c>
    </row>
    <row r="133" spans="1:68" ht="28.5">
      <c r="A133" s="9"/>
      <c r="B133" s="282"/>
      <c r="C133" s="283"/>
      <c r="D133" s="283"/>
      <c r="E133" s="283"/>
      <c r="F133" s="255" t="s">
        <v>380</v>
      </c>
      <c r="G133" s="256" t="s">
        <v>382</v>
      </c>
      <c r="H133" s="257">
        <v>25</v>
      </c>
      <c r="I133" s="257"/>
      <c r="J133" s="255" t="s">
        <v>380</v>
      </c>
      <c r="K133" s="256" t="s">
        <v>433</v>
      </c>
      <c r="L133" s="257">
        <v>31</v>
      </c>
      <c r="M133" s="257"/>
      <c r="N133" s="255" t="s">
        <v>380</v>
      </c>
      <c r="O133" s="256" t="s">
        <v>434</v>
      </c>
      <c r="P133" s="257">
        <v>31</v>
      </c>
      <c r="Q133" s="257"/>
      <c r="R133" s="255" t="s">
        <v>380</v>
      </c>
      <c r="S133" s="256" t="s">
        <v>384</v>
      </c>
      <c r="T133" s="257">
        <v>31</v>
      </c>
      <c r="U133" s="243"/>
      <c r="Y133" s="273"/>
      <c r="Z133" s="273"/>
      <c r="AC133" s="273"/>
      <c r="AD133" s="273"/>
      <c r="AG133" s="273"/>
      <c r="AH133" s="273"/>
      <c r="AK133" s="273"/>
      <c r="AL133" s="273"/>
      <c r="BP133" s="1" t="str">
        <f>IF(DAY_SCH!A131="","",DAY_SCH!A131)</f>
        <v/>
      </c>
    </row>
    <row r="134" spans="1:68">
      <c r="A134" s="9"/>
      <c r="B134" s="260"/>
      <c r="C134" s="261" t="str">
        <f>IF(ISNA(VLOOKUP(C132,D!$C$4:$C$103,1,0)),"","Schedules and Day Schedules can't have same name!")</f>
        <v/>
      </c>
      <c r="D134" s="261"/>
      <c r="E134" s="261"/>
      <c r="F134" s="262"/>
      <c r="G134" s="263" t="str">
        <f>IF(OR(H133&gt;VLOOKUP(G133,D!$G$4:$I$16,3,0),AND(G133=G132,H133&lt;=H132),VLOOKUP(G133,D!$G$4:$H$16,2,0)&lt;VLOOKUP(G132,D!$G$4:$H$16,2,0)),"Must correct date!","")</f>
        <v/>
      </c>
      <c r="H134" s="263"/>
      <c r="I134" s="264"/>
      <c r="J134" s="262"/>
      <c r="K134" s="263" t="str">
        <f>IF(AND(K133=" ",K132=" "),"",IF(OR(L133&gt;VLOOKUP(K133,D!$G$4:$I$16,3,0),AND(K133=K132,L133&lt;=L132),VLOOKUP(K133,D!$G$4:$H$16,2,0)&lt;VLOOKUP(K132,D!$G$4:$H$16,2,0)),"Must correct date!",""))</f>
        <v/>
      </c>
      <c r="L134" s="263"/>
      <c r="M134" s="264"/>
      <c r="N134" s="262"/>
      <c r="O134" s="263" t="str">
        <f>IF(AND(O133=" ",O132=" "),"",IF(OR(P133&gt;VLOOKUP(O133,D!$G$4:$I$16,3,0),AND(O133=O132,P133&lt;=P132),VLOOKUP(O133,D!$G$4:$H$16,2,0)&lt;VLOOKUP(O132,D!$G$4:$H$16,2,0)),"Must correct date!",""))</f>
        <v/>
      </c>
      <c r="P134" s="263"/>
      <c r="Q134" s="264"/>
      <c r="R134" s="262"/>
      <c r="S134" s="265" t="str">
        <f>IF(AND(S133=" ",S132=" "),"",IF(OR(T133&gt;VLOOKUP(S133,D!$G$4:$I$16,3,0),AND(S133=S132,T133&lt;=T132),VLOOKUP(S133,D!$G$4:$H$16,2,0)&lt;VLOOKUP(S132,D!$G$4:$H$16,2,0)),"Must correct date!",""))</f>
        <v/>
      </c>
      <c r="T134" s="265"/>
      <c r="U134" s="243"/>
      <c r="X134" s="273"/>
      <c r="Y134" s="273"/>
      <c r="Z134" s="273"/>
      <c r="AB134" s="273"/>
      <c r="AC134" s="273"/>
      <c r="AD134" s="273"/>
      <c r="AF134" s="273"/>
      <c r="AG134" s="273"/>
      <c r="AH134" s="273"/>
      <c r="AJ134" s="273"/>
      <c r="AK134" s="273"/>
      <c r="AL134" s="273"/>
      <c r="BP134" s="1" t="str">
        <f>IF(DAY_SCH!A132="","",DAY_SCH!A132)</f>
        <v/>
      </c>
    </row>
    <row r="135" spans="1:68">
      <c r="A135" s="9"/>
      <c r="B135" s="260"/>
      <c r="C135" s="261"/>
      <c r="D135" s="261"/>
      <c r="E135" s="261"/>
      <c r="F135" s="267" t="s">
        <v>389</v>
      </c>
      <c r="G135" s="268" t="s">
        <v>390</v>
      </c>
      <c r="H135" s="268"/>
      <c r="I135" s="269"/>
      <c r="J135" s="267" t="str">
        <f t="shared" ref="J135:J144" si="12">$F135</f>
        <v>SUN:</v>
      </c>
      <c r="K135" s="268"/>
      <c r="L135" s="268"/>
      <c r="M135" s="269"/>
      <c r="N135" s="267" t="s">
        <v>389</v>
      </c>
      <c r="O135" s="268"/>
      <c r="P135" s="268"/>
      <c r="Q135" s="269"/>
      <c r="R135" s="267" t="s">
        <v>391</v>
      </c>
      <c r="S135" s="284"/>
      <c r="T135" s="284"/>
      <c r="U135" s="243"/>
      <c r="X135" s="273"/>
      <c r="Y135" s="273"/>
      <c r="Z135" s="273"/>
      <c r="AB135" s="273"/>
      <c r="AC135" s="273"/>
      <c r="AD135" s="273"/>
      <c r="AF135" s="273"/>
      <c r="AG135" s="273"/>
      <c r="AH135" s="273"/>
      <c r="AJ135" s="273"/>
      <c r="AK135" s="273"/>
      <c r="AL135" s="273"/>
      <c r="BP135" s="1" t="str">
        <f>IF(DAY_SCH!A133="","",DAY_SCH!A133)</f>
        <v/>
      </c>
    </row>
    <row r="136" spans="1:68">
      <c r="A136" s="9"/>
      <c r="B136" s="260"/>
      <c r="C136" s="285" t="s">
        <v>395</v>
      </c>
      <c r="D136" s="262"/>
      <c r="E136" s="262"/>
      <c r="F136" s="267" t="s">
        <v>396</v>
      </c>
      <c r="G136" s="268" t="s">
        <v>390</v>
      </c>
      <c r="H136" s="268"/>
      <c r="I136" s="264"/>
      <c r="J136" s="267" t="str">
        <f t="shared" si="12"/>
        <v>MON:</v>
      </c>
      <c r="K136" s="268"/>
      <c r="L136" s="268"/>
      <c r="M136" s="269"/>
      <c r="N136" s="267" t="s">
        <v>396</v>
      </c>
      <c r="O136" s="268"/>
      <c r="P136" s="268"/>
      <c r="Q136" s="269"/>
      <c r="R136" s="267" t="s">
        <v>397</v>
      </c>
      <c r="S136" s="284"/>
      <c r="T136" s="284"/>
      <c r="U136" s="243"/>
      <c r="X136" s="273"/>
      <c r="Y136" s="273"/>
      <c r="Z136" s="273"/>
      <c r="AB136" s="273"/>
      <c r="AC136" s="273"/>
      <c r="AD136" s="273"/>
      <c r="AF136" s="273"/>
      <c r="AG136" s="273"/>
      <c r="AH136" s="273"/>
      <c r="AJ136" s="273"/>
      <c r="AK136" s="273"/>
      <c r="AL136" s="273"/>
      <c r="BP136" s="1" t="str">
        <f>IF(DAY_SCH!A134="","",DAY_SCH!A134)</f>
        <v/>
      </c>
    </row>
    <row r="137" spans="1:68">
      <c r="A137" s="9"/>
      <c r="B137" s="260"/>
      <c r="C137" s="286" t="s">
        <v>420</v>
      </c>
      <c r="D137" s="262"/>
      <c r="E137" s="262"/>
      <c r="F137" s="267" t="s">
        <v>402</v>
      </c>
      <c r="G137" s="268" t="s">
        <v>390</v>
      </c>
      <c r="H137" s="268"/>
      <c r="I137" s="264"/>
      <c r="J137" s="267" t="str">
        <f t="shared" si="12"/>
        <v>TUE:</v>
      </c>
      <c r="K137" s="268"/>
      <c r="L137" s="268"/>
      <c r="M137" s="269"/>
      <c r="N137" s="267" t="s">
        <v>402</v>
      </c>
      <c r="O137" s="268"/>
      <c r="P137" s="268"/>
      <c r="Q137" s="269"/>
      <c r="R137" s="267" t="s">
        <v>403</v>
      </c>
      <c r="S137" s="284"/>
      <c r="T137" s="284"/>
      <c r="U137" s="243"/>
      <c r="X137" s="273"/>
      <c r="Y137" s="273"/>
      <c r="Z137" s="273"/>
      <c r="AB137" s="273"/>
      <c r="AC137" s="273"/>
      <c r="AD137" s="273"/>
      <c r="AF137" s="273"/>
      <c r="AG137" s="273"/>
      <c r="AH137" s="273"/>
      <c r="AJ137" s="273"/>
      <c r="AK137" s="273"/>
      <c r="AL137" s="273"/>
      <c r="BP137" s="1" t="str">
        <f>IF(DAY_SCH!A135="","",DAY_SCH!A135)</f>
        <v/>
      </c>
    </row>
    <row r="138" spans="1:68">
      <c r="A138" s="9"/>
      <c r="B138" s="260"/>
      <c r="C138" s="286"/>
      <c r="D138" s="262"/>
      <c r="E138" s="262"/>
      <c r="F138" s="267" t="s">
        <v>407</v>
      </c>
      <c r="G138" s="268" t="s">
        <v>390</v>
      </c>
      <c r="H138" s="268"/>
      <c r="I138" s="264"/>
      <c r="J138" s="267" t="str">
        <f t="shared" si="12"/>
        <v>WED:</v>
      </c>
      <c r="K138" s="268"/>
      <c r="L138" s="268"/>
      <c r="M138" s="269"/>
      <c r="N138" s="267" t="s">
        <v>407</v>
      </c>
      <c r="O138" s="268"/>
      <c r="P138" s="268"/>
      <c r="Q138" s="269"/>
      <c r="R138" s="267" t="s">
        <v>408</v>
      </c>
      <c r="S138" s="284"/>
      <c r="T138" s="284"/>
      <c r="U138" s="243"/>
      <c r="X138" s="273"/>
      <c r="Y138" s="273"/>
      <c r="Z138" s="273"/>
      <c r="AB138" s="273"/>
      <c r="AC138" s="273"/>
      <c r="AD138" s="273"/>
      <c r="AF138" s="273"/>
      <c r="AG138" s="273"/>
      <c r="AH138" s="273"/>
      <c r="AJ138" s="273"/>
      <c r="AK138" s="273"/>
      <c r="AL138" s="273"/>
      <c r="BP138" s="1" t="str">
        <f>IF(DAY_SCH!A136="","",DAY_SCH!A136)</f>
        <v/>
      </c>
    </row>
    <row r="139" spans="1:68" ht="24">
      <c r="A139" s="9"/>
      <c r="B139" s="260"/>
      <c r="C139" s="274" t="s">
        <v>410</v>
      </c>
      <c r="D139" s="262"/>
      <c r="E139" s="262"/>
      <c r="F139" s="267" t="s">
        <v>411</v>
      </c>
      <c r="G139" s="268" t="s">
        <v>390</v>
      </c>
      <c r="H139" s="268"/>
      <c r="I139" s="264"/>
      <c r="J139" s="267" t="str">
        <f t="shared" si="12"/>
        <v>THU:</v>
      </c>
      <c r="K139" s="268"/>
      <c r="L139" s="268"/>
      <c r="M139" s="269"/>
      <c r="N139" s="267" t="s">
        <v>411</v>
      </c>
      <c r="O139" s="268"/>
      <c r="P139" s="268"/>
      <c r="Q139" s="269"/>
      <c r="R139" s="267" t="s">
        <v>412</v>
      </c>
      <c r="S139" s="284"/>
      <c r="T139" s="284"/>
      <c r="U139" s="243"/>
      <c r="X139" s="273"/>
      <c r="Y139" s="273"/>
      <c r="Z139" s="273"/>
      <c r="AB139" s="273"/>
      <c r="AC139" s="273"/>
      <c r="AD139" s="273"/>
      <c r="AF139" s="273"/>
      <c r="AG139" s="273"/>
      <c r="AH139" s="273"/>
      <c r="AJ139" s="273"/>
      <c r="AK139" s="273"/>
      <c r="AL139" s="273"/>
      <c r="BP139" s="1" t="str">
        <f>IF(DAY_SCH!A137="","",DAY_SCH!A137)</f>
        <v/>
      </c>
    </row>
    <row r="140" spans="1:68">
      <c r="A140" s="9"/>
      <c r="B140" s="260"/>
      <c r="C140" s="274"/>
      <c r="D140" s="262"/>
      <c r="E140" s="262"/>
      <c r="F140" s="267" t="s">
        <v>414</v>
      </c>
      <c r="G140" s="268" t="s">
        <v>390</v>
      </c>
      <c r="H140" s="268"/>
      <c r="I140" s="264"/>
      <c r="J140" s="267" t="str">
        <f t="shared" si="12"/>
        <v>FRI:</v>
      </c>
      <c r="K140" s="268"/>
      <c r="L140" s="268"/>
      <c r="M140" s="269"/>
      <c r="N140" s="267" t="s">
        <v>414</v>
      </c>
      <c r="O140" s="268"/>
      <c r="P140" s="268"/>
      <c r="Q140" s="269"/>
      <c r="R140" s="267" t="s">
        <v>415</v>
      </c>
      <c r="S140" s="284"/>
      <c r="T140" s="284"/>
      <c r="U140" s="243"/>
      <c r="X140" s="273"/>
      <c r="Y140" s="273"/>
      <c r="Z140" s="273"/>
      <c r="AB140" s="273"/>
      <c r="AC140" s="273"/>
      <c r="AD140" s="273"/>
      <c r="AF140" s="273"/>
      <c r="AG140" s="273"/>
      <c r="AH140" s="273"/>
      <c r="AJ140" s="273"/>
      <c r="AK140" s="273"/>
      <c r="AL140" s="273"/>
      <c r="BP140" s="1" t="str">
        <f>IF(DAY_SCH!A138="","",DAY_SCH!A138)</f>
        <v/>
      </c>
    </row>
    <row r="141" spans="1:68">
      <c r="A141" s="9"/>
      <c r="B141" s="260"/>
      <c r="C141" s="238" t="str">
        <f>IF(AND(C137="Other",OR(D141=" ",D141="")),"Select Type →",IF(AND(NOT(C137="Other"),AND(NOT(D141=" "),NOT(D141=""))),"Deselect Type→",VLOOKUP(C137,$BL$6:$BM$19,2,0)))</f>
        <v>Fraction</v>
      </c>
      <c r="D141" s="275"/>
      <c r="E141" s="275"/>
      <c r="F141" s="267" t="s">
        <v>418</v>
      </c>
      <c r="G141" s="268" t="s">
        <v>390</v>
      </c>
      <c r="H141" s="268"/>
      <c r="I141" s="264"/>
      <c r="J141" s="267" t="str">
        <f t="shared" si="12"/>
        <v>SAT:</v>
      </c>
      <c r="K141" s="268"/>
      <c r="L141" s="268"/>
      <c r="M141" s="269"/>
      <c r="N141" s="267" t="s">
        <v>418</v>
      </c>
      <c r="O141" s="268"/>
      <c r="P141" s="268"/>
      <c r="Q141" s="269"/>
      <c r="R141" s="267" t="s">
        <v>419</v>
      </c>
      <c r="S141" s="284"/>
      <c r="T141" s="284"/>
      <c r="U141" s="243"/>
      <c r="X141" s="273"/>
      <c r="Y141" s="273"/>
      <c r="Z141" s="273"/>
      <c r="AB141" s="273"/>
      <c r="AC141" s="273"/>
      <c r="AD141" s="273"/>
      <c r="AF141" s="273"/>
      <c r="AG141" s="273"/>
      <c r="AH141" s="273"/>
      <c r="AJ141" s="273"/>
      <c r="AK141" s="273"/>
      <c r="AL141" s="273"/>
      <c r="BP141" s="1" t="str">
        <f>IF(DAY_SCH!A139="","",DAY_SCH!A139)</f>
        <v/>
      </c>
    </row>
    <row r="142" spans="1:68">
      <c r="A142" s="9"/>
      <c r="B142" s="260"/>
      <c r="C142" s="238"/>
      <c r="D142" s="275"/>
      <c r="E142" s="275"/>
      <c r="F142" s="267" t="s">
        <v>421</v>
      </c>
      <c r="G142" s="268" t="s">
        <v>390</v>
      </c>
      <c r="H142" s="268"/>
      <c r="I142" s="264"/>
      <c r="J142" s="267" t="str">
        <f t="shared" si="12"/>
        <v>HOL:</v>
      </c>
      <c r="K142" s="268"/>
      <c r="L142" s="268"/>
      <c r="M142" s="269"/>
      <c r="N142" s="267" t="s">
        <v>421</v>
      </c>
      <c r="O142" s="268"/>
      <c r="P142" s="268"/>
      <c r="Q142" s="269"/>
      <c r="R142" s="267" t="s">
        <v>391</v>
      </c>
      <c r="S142" s="284"/>
      <c r="T142" s="284"/>
      <c r="U142" s="243"/>
      <c r="X142" s="273"/>
      <c r="Y142" s="273"/>
      <c r="Z142" s="273"/>
      <c r="AB142" s="273"/>
      <c r="AC142" s="273"/>
      <c r="AD142" s="273"/>
      <c r="AF142" s="273"/>
      <c r="AG142" s="273"/>
      <c r="AH142" s="273"/>
      <c r="AJ142" s="273"/>
      <c r="AK142" s="273"/>
      <c r="AL142" s="273"/>
      <c r="BP142" s="1" t="str">
        <f>IF(DAY_SCH!A140="","",DAY_SCH!A140)</f>
        <v/>
      </c>
    </row>
    <row r="143" spans="1:68">
      <c r="A143" s="9"/>
      <c r="B143" s="260"/>
      <c r="C143" s="261" t="str">
        <f>IF(ISNA(VLOOKUP(C141,D!$C$4:$C$103,1,0)),"",IF(VLOOKUP(C141,D!$C$4:$C$203,1,0)="","","Schedules and Day Schedules can't have same name!"))</f>
        <v/>
      </c>
      <c r="D143" s="261"/>
      <c r="E143" s="261"/>
      <c r="F143" s="267" t="s">
        <v>424</v>
      </c>
      <c r="G143" s="268" t="s">
        <v>425</v>
      </c>
      <c r="H143" s="268"/>
      <c r="I143" s="264"/>
      <c r="J143" s="267" t="str">
        <f t="shared" si="12"/>
        <v>HDD:</v>
      </c>
      <c r="K143" s="268"/>
      <c r="L143" s="268"/>
      <c r="M143" s="269"/>
      <c r="N143" s="267" t="s">
        <v>424</v>
      </c>
      <c r="O143" s="268"/>
      <c r="P143" s="268"/>
      <c r="Q143" s="269"/>
      <c r="R143" s="267" t="s">
        <v>426</v>
      </c>
      <c r="S143" s="284"/>
      <c r="T143" s="284"/>
      <c r="U143" s="243"/>
      <c r="X143" s="273"/>
      <c r="AB143" s="273"/>
      <c r="AF143" s="273"/>
      <c r="AJ143" s="273"/>
      <c r="BP143" s="1" t="str">
        <f>IF(DAY_SCH!A141="","",DAY_SCH!A141)</f>
        <v/>
      </c>
    </row>
    <row r="144" spans="1:68">
      <c r="A144" s="9"/>
      <c r="B144" s="260"/>
      <c r="C144" s="261"/>
      <c r="D144" s="261"/>
      <c r="E144" s="261"/>
      <c r="F144" s="267" t="s">
        <v>429</v>
      </c>
      <c r="G144" s="268" t="s">
        <v>430</v>
      </c>
      <c r="H144" s="268"/>
      <c r="I144" s="269"/>
      <c r="J144" s="267" t="str">
        <f t="shared" si="12"/>
        <v>CDD:</v>
      </c>
      <c r="K144" s="268"/>
      <c r="L144" s="268"/>
      <c r="M144" s="269"/>
      <c r="N144" s="267" t="s">
        <v>429</v>
      </c>
      <c r="O144" s="268"/>
      <c r="P144" s="268"/>
      <c r="Q144" s="269"/>
      <c r="R144" s="267" t="s">
        <v>431</v>
      </c>
      <c r="S144" s="284"/>
      <c r="T144" s="284"/>
      <c r="U144" s="243"/>
      <c r="BP144" s="1" t="str">
        <f>IF(DAY_SCH!A142="","",DAY_SCH!A142)</f>
        <v/>
      </c>
    </row>
    <row r="145" spans="1:68">
      <c r="A145" s="9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43"/>
      <c r="BP145" s="1" t="str">
        <f>IF(DAY_SCH!A143="","",DAY_SCH!A143)</f>
        <v/>
      </c>
    </row>
    <row r="146" spans="1:68">
      <c r="A146" s="9">
        <f>IF(C132="",A132+1,IF(OR(AND(G133="December",H133=31),AND(K133="December",L133=31),AND(O133="December",P133=31),AND(S133="December",T133=31)),A132+1,A132))</f>
        <v>11</v>
      </c>
      <c r="B146" s="282" t="s">
        <v>376</v>
      </c>
      <c r="C146" s="283" t="s">
        <v>377</v>
      </c>
      <c r="D146" s="283"/>
      <c r="E146" s="283"/>
      <c r="F146" s="249" t="s">
        <v>378</v>
      </c>
      <c r="G146" s="250" t="s">
        <v>379</v>
      </c>
      <c r="H146" s="251">
        <v>1</v>
      </c>
      <c r="I146" s="251"/>
      <c r="J146" s="249" t="s">
        <v>378</v>
      </c>
      <c r="K146" s="252" t="str">
        <f>IF(AND(G147="December",H147=31)," ",IF(VLOOKUP(G147,D!$G$5:$I$16,3,0)=H147,LOOKUP(VLOOKUP(G147,D!$G$4:$H$16,2,0)+1,D!$H$4:$H$16,D!$G$4:$G$16),G147))</f>
        <v>April</v>
      </c>
      <c r="L146" s="251">
        <f>IF(K146=" "," ",IF(K146=G147,H147+1,1))</f>
        <v>26</v>
      </c>
      <c r="M146" s="251"/>
      <c r="N146" s="249" t="s">
        <v>378</v>
      </c>
      <c r="O146" s="250" t="str">
        <f>IF(OR(K147=" ",AND(K147="December",L147=31))," ",IF(VLOOKUP(K147,D!$G$5:$I$16,3,0)=L147,LOOKUP(VLOOKUP(K147,D!$G$4:$H$16,2,0)+1,D!$H$4:$H$16,D!$G$4:$G$16),K147))</f>
        <v>June</v>
      </c>
      <c r="P146" s="251">
        <f>IF(O146=" "," ",IF(O146=K147,L147+1,1))</f>
        <v>1</v>
      </c>
      <c r="Q146" s="251"/>
      <c r="R146" s="249" t="s">
        <v>378</v>
      </c>
      <c r="S146" s="250" t="str">
        <f>IF(OR(O147=" ",AND(O147="December",P147=31))," ",IF(VLOOKUP(O147,D!$G$5:$I$16,3,0)=P147,LOOKUP(VLOOKUP(O147,D!$G$4:$H$16,2,0)+1,D!$H$4:$H$16,D!$G$4:$G$16),O147))</f>
        <v>August</v>
      </c>
      <c r="T146" s="251">
        <f>IF(S146=" "," ",IF(S146=O147,P147+1,1))</f>
        <v>1</v>
      </c>
      <c r="U146" s="243"/>
      <c r="BP146" s="1" t="str">
        <f>IF(DAY_SCH!A144="","",DAY_SCH!A144)</f>
        <v/>
      </c>
    </row>
    <row r="147" spans="1:68" ht="28.5">
      <c r="A147" s="9"/>
      <c r="B147" s="282"/>
      <c r="C147" s="283"/>
      <c r="D147" s="283"/>
      <c r="E147" s="283"/>
      <c r="F147" s="255" t="s">
        <v>380</v>
      </c>
      <c r="G147" s="256" t="s">
        <v>382</v>
      </c>
      <c r="H147" s="257">
        <v>25</v>
      </c>
      <c r="I147" s="257"/>
      <c r="J147" s="255" t="s">
        <v>380</v>
      </c>
      <c r="K147" s="256" t="s">
        <v>433</v>
      </c>
      <c r="L147" s="257">
        <v>31</v>
      </c>
      <c r="M147" s="257"/>
      <c r="N147" s="255" t="s">
        <v>380</v>
      </c>
      <c r="O147" s="256" t="s">
        <v>434</v>
      </c>
      <c r="P147" s="257">
        <v>31</v>
      </c>
      <c r="Q147" s="257"/>
      <c r="R147" s="255" t="s">
        <v>380</v>
      </c>
      <c r="S147" s="256" t="s">
        <v>384</v>
      </c>
      <c r="T147" s="257">
        <v>31</v>
      </c>
      <c r="U147" s="243"/>
      <c r="Y147" s="273"/>
      <c r="Z147" s="273"/>
      <c r="AC147" s="273"/>
      <c r="AD147" s="273"/>
      <c r="AG147" s="273"/>
      <c r="AH147" s="273"/>
      <c r="AK147" s="273"/>
      <c r="AL147" s="273"/>
      <c r="BP147" s="1" t="str">
        <f>IF(DAY_SCH!A145="","",DAY_SCH!A145)</f>
        <v/>
      </c>
    </row>
    <row r="148" spans="1:68">
      <c r="A148" s="9"/>
      <c r="B148" s="260"/>
      <c r="C148" s="261" t="str">
        <f>IF(ISNA(VLOOKUP(C146,D!$C$4:$C$103,1,0)),"","Schedules and Day Schedules can't have same name!")</f>
        <v/>
      </c>
      <c r="D148" s="261"/>
      <c r="E148" s="261"/>
      <c r="F148" s="262"/>
      <c r="G148" s="263" t="str">
        <f>IF(OR(H147&gt;VLOOKUP(G147,D!$G$4:$I$16,3,0),AND(G147=G146,H147&lt;=H146),VLOOKUP(G147,D!$G$4:$H$16,2,0)&lt;VLOOKUP(G146,D!$G$4:$H$16,2,0)),"Must correct date!","")</f>
        <v/>
      </c>
      <c r="H148" s="263"/>
      <c r="I148" s="264"/>
      <c r="J148" s="262"/>
      <c r="K148" s="263" t="str">
        <f>IF(AND(K147=" ",K146=" "),"",IF(OR(L147&gt;VLOOKUP(K147,D!$G$4:$I$16,3,0),AND(K147=K146,L147&lt;=L146),VLOOKUP(K147,D!$G$4:$H$16,2,0)&lt;VLOOKUP(K146,D!$G$4:$H$16,2,0)),"Must correct date!",""))</f>
        <v/>
      </c>
      <c r="L148" s="263"/>
      <c r="M148" s="264"/>
      <c r="N148" s="262"/>
      <c r="O148" s="263" t="str">
        <f>IF(AND(O147=" ",O146=" "),"",IF(OR(P147&gt;VLOOKUP(O147,D!$G$4:$I$16,3,0),AND(O147=O146,P147&lt;=P146),VLOOKUP(O147,D!$G$4:$H$16,2,0)&lt;VLOOKUP(O146,D!$G$4:$H$16,2,0)),"Must correct date!",""))</f>
        <v/>
      </c>
      <c r="P148" s="263"/>
      <c r="Q148" s="264"/>
      <c r="R148" s="262"/>
      <c r="S148" s="265" t="str">
        <f>IF(AND(S147=" ",S146=" "),"",IF(OR(T147&gt;VLOOKUP(S147,D!$G$4:$I$16,3,0),AND(S147=S146,T147&lt;=T146),VLOOKUP(S147,D!$G$4:$H$16,2,0)&lt;VLOOKUP(S146,D!$G$4:$H$16,2,0)),"Must correct date!",""))</f>
        <v/>
      </c>
      <c r="T148" s="265"/>
      <c r="U148" s="243"/>
      <c r="X148" s="273"/>
      <c r="Y148" s="273"/>
      <c r="Z148" s="273"/>
      <c r="AB148" s="273"/>
      <c r="AC148" s="273"/>
      <c r="AD148" s="273"/>
      <c r="AF148" s="273"/>
      <c r="AG148" s="273"/>
      <c r="AH148" s="273"/>
      <c r="AJ148" s="273"/>
      <c r="AK148" s="273"/>
      <c r="AL148" s="273"/>
      <c r="BP148" s="1" t="str">
        <f>IF(DAY_SCH!A146="","",DAY_SCH!A146)</f>
        <v/>
      </c>
    </row>
    <row r="149" spans="1:68">
      <c r="A149" s="9"/>
      <c r="B149" s="260"/>
      <c r="C149" s="261"/>
      <c r="D149" s="261"/>
      <c r="E149" s="261"/>
      <c r="F149" s="267" t="s">
        <v>389</v>
      </c>
      <c r="G149" s="268" t="s">
        <v>390</v>
      </c>
      <c r="H149" s="268"/>
      <c r="I149" s="269"/>
      <c r="J149" s="267" t="str">
        <f t="shared" ref="J149:J158" si="13">$F149</f>
        <v>SUN:</v>
      </c>
      <c r="K149" s="268"/>
      <c r="L149" s="268"/>
      <c r="M149" s="269"/>
      <c r="N149" s="267" t="s">
        <v>389</v>
      </c>
      <c r="O149" s="268"/>
      <c r="P149" s="268"/>
      <c r="Q149" s="269"/>
      <c r="R149" s="267" t="s">
        <v>391</v>
      </c>
      <c r="S149" s="284"/>
      <c r="T149" s="284"/>
      <c r="U149" s="243"/>
      <c r="X149" s="273"/>
      <c r="Y149" s="273"/>
      <c r="Z149" s="273"/>
      <c r="AB149" s="273"/>
      <c r="AC149" s="273"/>
      <c r="AD149" s="273"/>
      <c r="AF149" s="273"/>
      <c r="AG149" s="273"/>
      <c r="AH149" s="273"/>
      <c r="AJ149" s="273"/>
      <c r="AK149" s="273"/>
      <c r="AL149" s="273"/>
      <c r="BP149" s="1" t="str">
        <f>IF(DAY_SCH!A147="","",DAY_SCH!A147)</f>
        <v/>
      </c>
    </row>
    <row r="150" spans="1:68">
      <c r="A150" s="9"/>
      <c r="B150" s="260"/>
      <c r="C150" s="285" t="s">
        <v>395</v>
      </c>
      <c r="D150" s="262"/>
      <c r="E150" s="262"/>
      <c r="F150" s="267" t="s">
        <v>396</v>
      </c>
      <c r="G150" s="268" t="s">
        <v>390</v>
      </c>
      <c r="H150" s="268"/>
      <c r="I150" s="264"/>
      <c r="J150" s="267" t="str">
        <f t="shared" si="13"/>
        <v>MON:</v>
      </c>
      <c r="K150" s="268"/>
      <c r="L150" s="268"/>
      <c r="M150" s="269"/>
      <c r="N150" s="267" t="s">
        <v>396</v>
      </c>
      <c r="O150" s="268"/>
      <c r="P150" s="268"/>
      <c r="Q150" s="269"/>
      <c r="R150" s="267" t="s">
        <v>397</v>
      </c>
      <c r="S150" s="284"/>
      <c r="T150" s="284"/>
      <c r="U150" s="243"/>
      <c r="X150" s="273"/>
      <c r="Y150" s="273"/>
      <c r="Z150" s="273"/>
      <c r="AB150" s="273"/>
      <c r="AC150" s="273"/>
      <c r="AD150" s="273"/>
      <c r="AF150" s="273"/>
      <c r="AG150" s="273"/>
      <c r="AH150" s="273"/>
      <c r="AJ150" s="273"/>
      <c r="AK150" s="273"/>
      <c r="AL150" s="273"/>
      <c r="BP150" s="1" t="str">
        <f>IF(DAY_SCH!A148="","",DAY_SCH!A148)</f>
        <v/>
      </c>
    </row>
    <row r="151" spans="1:68">
      <c r="A151" s="9"/>
      <c r="B151" s="260"/>
      <c r="C151" s="286" t="s">
        <v>420</v>
      </c>
      <c r="D151" s="262"/>
      <c r="E151" s="262"/>
      <c r="F151" s="267" t="s">
        <v>402</v>
      </c>
      <c r="G151" s="268" t="s">
        <v>390</v>
      </c>
      <c r="H151" s="268"/>
      <c r="I151" s="264"/>
      <c r="J151" s="267" t="str">
        <f t="shared" si="13"/>
        <v>TUE:</v>
      </c>
      <c r="K151" s="268"/>
      <c r="L151" s="268"/>
      <c r="M151" s="269"/>
      <c r="N151" s="267" t="s">
        <v>402</v>
      </c>
      <c r="O151" s="268"/>
      <c r="P151" s="268"/>
      <c r="Q151" s="269"/>
      <c r="R151" s="267" t="s">
        <v>403</v>
      </c>
      <c r="S151" s="284"/>
      <c r="T151" s="284"/>
      <c r="U151" s="243"/>
      <c r="X151" s="273"/>
      <c r="Y151" s="273"/>
      <c r="Z151" s="273"/>
      <c r="AB151" s="273"/>
      <c r="AC151" s="273"/>
      <c r="AD151" s="273"/>
      <c r="AF151" s="273"/>
      <c r="AG151" s="273"/>
      <c r="AH151" s="273"/>
      <c r="AJ151" s="273"/>
      <c r="AK151" s="273"/>
      <c r="AL151" s="273"/>
      <c r="BP151" s="1" t="str">
        <f>IF(DAY_SCH!A149="","",DAY_SCH!A149)</f>
        <v/>
      </c>
    </row>
    <row r="152" spans="1:68">
      <c r="A152" s="9"/>
      <c r="B152" s="260"/>
      <c r="C152" s="286"/>
      <c r="D152" s="262"/>
      <c r="E152" s="262"/>
      <c r="F152" s="267" t="s">
        <v>407</v>
      </c>
      <c r="G152" s="268" t="s">
        <v>390</v>
      </c>
      <c r="H152" s="268"/>
      <c r="I152" s="264"/>
      <c r="J152" s="267" t="str">
        <f t="shared" si="13"/>
        <v>WED:</v>
      </c>
      <c r="K152" s="268"/>
      <c r="L152" s="268"/>
      <c r="M152" s="269"/>
      <c r="N152" s="267" t="s">
        <v>407</v>
      </c>
      <c r="O152" s="268"/>
      <c r="P152" s="268"/>
      <c r="Q152" s="269"/>
      <c r="R152" s="267" t="s">
        <v>408</v>
      </c>
      <c r="S152" s="284"/>
      <c r="T152" s="284"/>
      <c r="U152" s="243"/>
      <c r="X152" s="273"/>
      <c r="Y152" s="273"/>
      <c r="Z152" s="273"/>
      <c r="AB152" s="273"/>
      <c r="AC152" s="273"/>
      <c r="AD152" s="273"/>
      <c r="AF152" s="273"/>
      <c r="AG152" s="273"/>
      <c r="AH152" s="273"/>
      <c r="AJ152" s="273"/>
      <c r="AK152" s="273"/>
      <c r="AL152" s="273"/>
      <c r="BP152" s="1" t="str">
        <f>IF(DAY_SCH!A150="","",DAY_SCH!A150)</f>
        <v/>
      </c>
    </row>
    <row r="153" spans="1:68" ht="24">
      <c r="A153" s="9"/>
      <c r="B153" s="260"/>
      <c r="C153" s="274" t="s">
        <v>410</v>
      </c>
      <c r="D153" s="262"/>
      <c r="E153" s="262"/>
      <c r="F153" s="267" t="s">
        <v>411</v>
      </c>
      <c r="G153" s="268" t="s">
        <v>390</v>
      </c>
      <c r="H153" s="268"/>
      <c r="I153" s="264"/>
      <c r="J153" s="267" t="str">
        <f t="shared" si="13"/>
        <v>THU:</v>
      </c>
      <c r="K153" s="268"/>
      <c r="L153" s="268"/>
      <c r="M153" s="269"/>
      <c r="N153" s="267" t="s">
        <v>411</v>
      </c>
      <c r="O153" s="268"/>
      <c r="P153" s="268"/>
      <c r="Q153" s="269"/>
      <c r="R153" s="267" t="s">
        <v>412</v>
      </c>
      <c r="S153" s="284"/>
      <c r="T153" s="284"/>
      <c r="U153" s="243"/>
      <c r="X153" s="273"/>
      <c r="Y153" s="273"/>
      <c r="Z153" s="273"/>
      <c r="AB153" s="273"/>
      <c r="AC153" s="273"/>
      <c r="AD153" s="273"/>
      <c r="AF153" s="273"/>
      <c r="AG153" s="273"/>
      <c r="AH153" s="273"/>
      <c r="AJ153" s="273"/>
      <c r="AK153" s="273"/>
      <c r="AL153" s="273"/>
      <c r="BP153" s="1" t="str">
        <f>IF(DAY_SCH!A151="","",DAY_SCH!A151)</f>
        <v/>
      </c>
    </row>
    <row r="154" spans="1:68">
      <c r="A154" s="9"/>
      <c r="B154" s="260"/>
      <c r="C154" s="274"/>
      <c r="D154" s="262"/>
      <c r="E154" s="262"/>
      <c r="F154" s="267" t="s">
        <v>414</v>
      </c>
      <c r="G154" s="268" t="s">
        <v>390</v>
      </c>
      <c r="H154" s="268"/>
      <c r="I154" s="264"/>
      <c r="J154" s="267" t="str">
        <f t="shared" si="13"/>
        <v>FRI:</v>
      </c>
      <c r="K154" s="268"/>
      <c r="L154" s="268"/>
      <c r="M154" s="269"/>
      <c r="N154" s="267" t="s">
        <v>414</v>
      </c>
      <c r="O154" s="268"/>
      <c r="P154" s="268"/>
      <c r="Q154" s="269"/>
      <c r="R154" s="267" t="s">
        <v>415</v>
      </c>
      <c r="S154" s="284"/>
      <c r="T154" s="284"/>
      <c r="U154" s="243"/>
      <c r="X154" s="273"/>
      <c r="Y154" s="273"/>
      <c r="Z154" s="273"/>
      <c r="AB154" s="273"/>
      <c r="AC154" s="273"/>
      <c r="AD154" s="273"/>
      <c r="AF154" s="273"/>
      <c r="AG154" s="273"/>
      <c r="AH154" s="273"/>
      <c r="AJ154" s="273"/>
      <c r="AK154" s="273"/>
      <c r="AL154" s="273"/>
      <c r="BP154" s="1" t="str">
        <f>IF(DAY_SCH!A152="","",DAY_SCH!A152)</f>
        <v/>
      </c>
    </row>
    <row r="155" spans="1:68">
      <c r="A155" s="9"/>
      <c r="B155" s="260"/>
      <c r="C155" s="238" t="str">
        <f>IF(AND(C151="Other",OR(D155=" ",D155="")),"Select Type →",IF(AND(NOT(C151="Other"),AND(NOT(D155=" "),NOT(D155=""))),"Deselect Type→",VLOOKUP(C151,$BL$6:$BM$19,2,0)))</f>
        <v>Fraction</v>
      </c>
      <c r="D155" s="275"/>
      <c r="E155" s="275"/>
      <c r="F155" s="267" t="s">
        <v>418</v>
      </c>
      <c r="G155" s="268" t="s">
        <v>390</v>
      </c>
      <c r="H155" s="268"/>
      <c r="I155" s="264"/>
      <c r="J155" s="267" t="str">
        <f t="shared" si="13"/>
        <v>SAT:</v>
      </c>
      <c r="K155" s="268"/>
      <c r="L155" s="268"/>
      <c r="M155" s="269"/>
      <c r="N155" s="267" t="s">
        <v>418</v>
      </c>
      <c r="O155" s="268"/>
      <c r="P155" s="268"/>
      <c r="Q155" s="269"/>
      <c r="R155" s="267" t="s">
        <v>419</v>
      </c>
      <c r="S155" s="284"/>
      <c r="T155" s="284"/>
      <c r="U155" s="243"/>
      <c r="X155" s="273"/>
      <c r="Y155" s="273"/>
      <c r="Z155" s="273"/>
      <c r="AB155" s="273"/>
      <c r="AC155" s="273"/>
      <c r="AD155" s="273"/>
      <c r="AF155" s="273"/>
      <c r="AG155" s="273"/>
      <c r="AH155" s="273"/>
      <c r="AJ155" s="273"/>
      <c r="AK155" s="273"/>
      <c r="AL155" s="273"/>
      <c r="BP155" s="1" t="str">
        <f>IF(DAY_SCH!A153="","",DAY_SCH!A153)</f>
        <v/>
      </c>
    </row>
    <row r="156" spans="1:68">
      <c r="A156" s="9"/>
      <c r="B156" s="260"/>
      <c r="C156" s="238"/>
      <c r="D156" s="275"/>
      <c r="E156" s="275"/>
      <c r="F156" s="267" t="s">
        <v>421</v>
      </c>
      <c r="G156" s="268" t="s">
        <v>390</v>
      </c>
      <c r="H156" s="268"/>
      <c r="I156" s="264"/>
      <c r="J156" s="267" t="str">
        <f t="shared" si="13"/>
        <v>HOL:</v>
      </c>
      <c r="K156" s="268"/>
      <c r="L156" s="268"/>
      <c r="M156" s="269"/>
      <c r="N156" s="267" t="s">
        <v>421</v>
      </c>
      <c r="O156" s="268"/>
      <c r="P156" s="268"/>
      <c r="Q156" s="269"/>
      <c r="R156" s="267" t="s">
        <v>391</v>
      </c>
      <c r="S156" s="284"/>
      <c r="T156" s="284"/>
      <c r="U156" s="243"/>
      <c r="X156" s="273"/>
      <c r="Y156" s="273"/>
      <c r="Z156" s="273"/>
      <c r="AB156" s="273"/>
      <c r="AC156" s="273"/>
      <c r="AD156" s="273"/>
      <c r="AF156" s="273"/>
      <c r="AG156" s="273"/>
      <c r="AH156" s="273"/>
      <c r="AJ156" s="273"/>
      <c r="AK156" s="273"/>
      <c r="AL156" s="273"/>
      <c r="BP156" s="1" t="str">
        <f>IF(DAY_SCH!A154="","",DAY_SCH!A154)</f>
        <v/>
      </c>
    </row>
    <row r="157" spans="1:68">
      <c r="A157" s="9"/>
      <c r="B157" s="260"/>
      <c r="C157" s="261" t="str">
        <f>IF(ISNA(VLOOKUP(C155,D!$C$4:$C$103,1,0)),"",IF(VLOOKUP(C155,D!$C$4:$C$203,1,0)="","","Schedules and Day Schedules can't have same name!"))</f>
        <v/>
      </c>
      <c r="D157" s="261"/>
      <c r="E157" s="261"/>
      <c r="F157" s="267" t="s">
        <v>424</v>
      </c>
      <c r="G157" s="268" t="s">
        <v>425</v>
      </c>
      <c r="H157" s="268"/>
      <c r="I157" s="264"/>
      <c r="J157" s="267" t="str">
        <f t="shared" si="13"/>
        <v>HDD:</v>
      </c>
      <c r="K157" s="268"/>
      <c r="L157" s="268"/>
      <c r="M157" s="269"/>
      <c r="N157" s="267" t="s">
        <v>424</v>
      </c>
      <c r="O157" s="268"/>
      <c r="P157" s="268"/>
      <c r="Q157" s="269"/>
      <c r="R157" s="267" t="s">
        <v>426</v>
      </c>
      <c r="S157" s="284"/>
      <c r="T157" s="284"/>
      <c r="U157" s="243"/>
      <c r="X157" s="273"/>
      <c r="AB157" s="273"/>
      <c r="AF157" s="273"/>
      <c r="AJ157" s="273"/>
      <c r="BP157" s="1" t="str">
        <f>IF(DAY_SCH!A155="","",DAY_SCH!A155)</f>
        <v/>
      </c>
    </row>
    <row r="158" spans="1:68">
      <c r="A158" s="9"/>
      <c r="B158" s="260"/>
      <c r="C158" s="261"/>
      <c r="D158" s="261"/>
      <c r="E158" s="261"/>
      <c r="F158" s="267" t="s">
        <v>429</v>
      </c>
      <c r="G158" s="268" t="s">
        <v>430</v>
      </c>
      <c r="H158" s="268"/>
      <c r="I158" s="269"/>
      <c r="J158" s="267" t="str">
        <f t="shared" si="13"/>
        <v>CDD:</v>
      </c>
      <c r="K158" s="268"/>
      <c r="L158" s="268"/>
      <c r="M158" s="269"/>
      <c r="N158" s="267" t="s">
        <v>429</v>
      </c>
      <c r="O158" s="268"/>
      <c r="P158" s="268"/>
      <c r="Q158" s="269"/>
      <c r="R158" s="267" t="s">
        <v>431</v>
      </c>
      <c r="S158" s="284"/>
      <c r="T158" s="284"/>
      <c r="U158" s="243"/>
      <c r="BP158" s="1" t="str">
        <f>IF(DAY_SCH!A156="","",DAY_SCH!A156)</f>
        <v/>
      </c>
    </row>
    <row r="159" spans="1:68">
      <c r="A159" s="9"/>
      <c r="B159" s="276"/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43"/>
      <c r="BP159" s="1" t="str">
        <f>IF(DAY_SCH!A157="","",DAY_SCH!A157)</f>
        <v/>
      </c>
    </row>
    <row r="160" spans="1:68" ht="28.5">
      <c r="A160" s="9">
        <f>A146+1</f>
        <v>12</v>
      </c>
      <c r="B160" s="282" t="s">
        <v>376</v>
      </c>
      <c r="C160" s="287" t="s">
        <v>435</v>
      </c>
      <c r="D160" s="287"/>
      <c r="E160" s="287"/>
      <c r="F160" s="249" t="s">
        <v>378</v>
      </c>
      <c r="G160" s="288" t="s">
        <v>379</v>
      </c>
      <c r="H160" s="289">
        <v>1</v>
      </c>
      <c r="I160" s="289"/>
      <c r="J160" s="249" t="s">
        <v>378</v>
      </c>
      <c r="K160" s="290" t="str">
        <f>IF(AND(G161="December",H161=31)," ",IF(VLOOKUP(G161,D!$G$5:$I$16,3,0)=H161,LOOKUP(VLOOKUP(G161,D!$G$4:$H$16,2,0)+1,D!$H$4:$H$16,D!$G$4:$G$16),G161))</f>
        <v>January</v>
      </c>
      <c r="L160" s="289">
        <f>IF(K160=" "," ",IF(K160=G161,H161+1,1))</f>
        <v>29</v>
      </c>
      <c r="M160" s="289"/>
      <c r="N160" s="249" t="s">
        <v>378</v>
      </c>
      <c r="O160" s="288" t="str">
        <f>IF(OR(K161=" ",AND(K161="December",L161=31))," ",IF(VLOOKUP(K161,D!$G$5:$I$16,3,0)=L161,LOOKUP(VLOOKUP(K161,D!$G$4:$H$16,2,0)+1,D!$H$4:$H$16,D!$G$4:$G$16),K161))</f>
        <v>June</v>
      </c>
      <c r="P160" s="289">
        <f>IF(O160=" "," ",IF(O160=K161,L161+1,1))</f>
        <v>9</v>
      </c>
      <c r="Q160" s="289"/>
      <c r="R160" s="249" t="s">
        <v>378</v>
      </c>
      <c r="S160" s="288" t="str">
        <f>IF(OR(O161=" ",AND(O161="December",P161=31))," ",IF(VLOOKUP(O161,D!$G$5:$I$16,3,0)=P161,LOOKUP(VLOOKUP(O161,D!$G$4:$H$16,2,0)+1,D!$H$4:$H$16,D!$G$4:$G$16),O161))</f>
        <v>September</v>
      </c>
      <c r="T160" s="289">
        <f>IF(S160=" "," ",IF(S160=O161,P161+1,1))</f>
        <v>9</v>
      </c>
      <c r="U160" s="243"/>
      <c r="BP160" s="1" t="str">
        <f>IF(DAY_SCH!A158="","",DAY_SCH!A158)</f>
        <v/>
      </c>
    </row>
    <row r="161" spans="1:68" ht="28.5">
      <c r="A161" s="9"/>
      <c r="B161" s="282"/>
      <c r="C161" s="287"/>
      <c r="D161" s="287"/>
      <c r="E161" s="287"/>
      <c r="F161" s="255" t="s">
        <v>380</v>
      </c>
      <c r="G161" s="291" t="s">
        <v>379</v>
      </c>
      <c r="H161" s="292">
        <v>28</v>
      </c>
      <c r="I161" s="292"/>
      <c r="J161" s="255" t="s">
        <v>380</v>
      </c>
      <c r="K161" s="291" t="s">
        <v>383</v>
      </c>
      <c r="L161" s="292">
        <v>8</v>
      </c>
      <c r="M161" s="292"/>
      <c r="N161" s="255" t="s">
        <v>380</v>
      </c>
      <c r="O161" s="291" t="s">
        <v>436</v>
      </c>
      <c r="P161" s="292">
        <v>8</v>
      </c>
      <c r="Q161" s="292"/>
      <c r="R161" s="255" t="s">
        <v>380</v>
      </c>
      <c r="S161" s="291" t="s">
        <v>384</v>
      </c>
      <c r="T161" s="292">
        <v>31</v>
      </c>
      <c r="U161" s="243"/>
      <c r="X161" s="273"/>
      <c r="Y161" s="273"/>
      <c r="Z161" s="273"/>
      <c r="AB161" s="273"/>
      <c r="AC161" s="273"/>
      <c r="AD161" s="273"/>
      <c r="AF161" s="273"/>
      <c r="AG161" s="273"/>
      <c r="AH161" s="273"/>
      <c r="AJ161" s="273"/>
      <c r="AK161" s="273"/>
      <c r="AL161" s="273"/>
      <c r="BP161" s="1" t="str">
        <f>IF(DAY_SCH!A159="","",DAY_SCH!A159)</f>
        <v/>
      </c>
    </row>
    <row r="162" spans="1:68">
      <c r="A162" s="9"/>
      <c r="B162" s="260"/>
      <c r="C162" s="293" t="s">
        <v>395</v>
      </c>
      <c r="D162" s="294"/>
      <c r="E162" s="294"/>
      <c r="F162" s="262"/>
      <c r="G162" s="263" t="str">
        <f>IF(OR(H161&gt;VLOOKUP(G161,D!$G$4:$I$16,3,0),AND(G161=G160,H161&lt;=H160),VLOOKUP(G161,D!$G$4:$H$16,2,0)&lt;VLOOKUP(G160,D!$G$4:$H$16,2,0)),"Must correct date!","")</f>
        <v/>
      </c>
      <c r="H162" s="263"/>
      <c r="J162" s="262"/>
      <c r="K162" s="263" t="str">
        <f>IF(AND(K161=" ",K160=" "),"",IF(OR(L161&gt;VLOOKUP(K161,D!$G$4:$I$16,3,0),AND(K161=K160,L161&lt;=L160),VLOOKUP(K161,D!$G$4:$H$16,2,0)&lt;VLOOKUP(K160,D!$G$4:$H$16,2,0)),"Must correct date!",""))</f>
        <v/>
      </c>
      <c r="L162" s="263"/>
      <c r="N162" s="262"/>
      <c r="O162" s="263" t="str">
        <f>IF(AND(O161=" ",O160=" "),"",IF(OR(P161&gt;VLOOKUP(O161,D!$G$4:$I$16,3,0),AND(O161=O160,P161&lt;=P160),VLOOKUP(O161,D!$G$4:$H$16,2,0)&lt;VLOOKUP(O160,D!$G$4:$H$16,2,0)),"Must correct date!",""))</f>
        <v/>
      </c>
      <c r="P162" s="263"/>
      <c r="R162" s="262"/>
      <c r="S162" s="265" t="str">
        <f>IF(AND(S161=" ",S160=" "),"",IF(OR(T161&gt;VLOOKUP(S161,D!$G$4:$I$16,3,0),AND(S161=S160,T161&lt;=T160),VLOOKUP(S161,D!$G$4:$H$16,2,0)&lt;VLOOKUP(S160,D!$G$4:$H$16,2,0)),"Must correct date!",""))</f>
        <v/>
      </c>
      <c r="T162" s="265"/>
      <c r="U162" s="243"/>
      <c r="X162" s="273"/>
      <c r="Y162" s="273"/>
      <c r="Z162" s="273"/>
      <c r="AB162" s="273"/>
      <c r="AC162" s="273"/>
      <c r="AD162" s="273"/>
      <c r="AF162" s="273"/>
      <c r="AG162" s="273"/>
      <c r="AH162" s="273"/>
      <c r="AJ162" s="273"/>
      <c r="AK162" s="273"/>
      <c r="AL162" s="273"/>
      <c r="BP162" s="1" t="str">
        <f>IF(DAY_SCH!A160="","",DAY_SCH!A160)</f>
        <v/>
      </c>
    </row>
    <row r="163" spans="1:68">
      <c r="A163" s="9"/>
      <c r="B163" s="260"/>
      <c r="C163" s="293"/>
      <c r="D163" s="294"/>
      <c r="E163" s="294"/>
      <c r="F163" s="267" t="s">
        <v>389</v>
      </c>
      <c r="G163" s="295" t="s">
        <v>437</v>
      </c>
      <c r="H163" s="295"/>
      <c r="I163" s="296"/>
      <c r="J163" s="267" t="str">
        <f t="shared" ref="J163:J172" si="14">$F163</f>
        <v>SUN:</v>
      </c>
      <c r="K163" s="295"/>
      <c r="L163" s="295"/>
      <c r="M163" s="296"/>
      <c r="N163" s="267" t="s">
        <v>389</v>
      </c>
      <c r="O163" s="295"/>
      <c r="P163" s="295"/>
      <c r="Q163" s="296"/>
      <c r="R163" s="267" t="s">
        <v>391</v>
      </c>
      <c r="S163" s="297"/>
      <c r="T163" s="297"/>
      <c r="U163" s="243"/>
      <c r="X163" s="273"/>
      <c r="Y163" s="273"/>
      <c r="Z163" s="273"/>
      <c r="AB163" s="273"/>
      <c r="AC163" s="273"/>
      <c r="AD163" s="273"/>
      <c r="AF163" s="273"/>
      <c r="AG163" s="273"/>
      <c r="AH163" s="273"/>
      <c r="AJ163" s="273"/>
      <c r="AK163" s="273"/>
      <c r="AL163" s="273"/>
      <c r="BP163" s="1" t="str">
        <f>IF(DAY_SCH!A161="","",DAY_SCH!A161)</f>
        <v/>
      </c>
    </row>
    <row r="164" spans="1:68">
      <c r="A164" s="9"/>
      <c r="B164" s="260"/>
      <c r="C164" s="293"/>
      <c r="D164" s="294"/>
      <c r="E164" s="294"/>
      <c r="F164" s="267" t="s">
        <v>396</v>
      </c>
      <c r="G164" s="295" t="s">
        <v>437</v>
      </c>
      <c r="H164" s="295"/>
      <c r="J164" s="267" t="str">
        <f t="shared" si="14"/>
        <v>MON:</v>
      </c>
      <c r="K164" s="295"/>
      <c r="L164" s="295"/>
      <c r="M164" s="296"/>
      <c r="N164" s="267" t="s">
        <v>396</v>
      </c>
      <c r="O164" s="295"/>
      <c r="P164" s="295"/>
      <c r="Q164" s="296"/>
      <c r="R164" s="267" t="s">
        <v>397</v>
      </c>
      <c r="S164" s="297"/>
      <c r="T164" s="297"/>
      <c r="U164" s="243"/>
      <c r="X164" s="273"/>
      <c r="Y164" s="273"/>
      <c r="Z164" s="273"/>
      <c r="AB164" s="273"/>
      <c r="AC164" s="273"/>
      <c r="AD164" s="273"/>
      <c r="AF164" s="273"/>
      <c r="AG164" s="273"/>
      <c r="AH164" s="273"/>
      <c r="AJ164" s="273"/>
      <c r="AK164" s="273"/>
      <c r="AL164" s="273"/>
      <c r="BP164" s="1" t="str">
        <f>IF(DAY_SCH!A162="","",DAY_SCH!A162)</f>
        <v/>
      </c>
    </row>
    <row r="165" spans="1:68" ht="28.5">
      <c r="A165" s="9"/>
      <c r="B165" s="260"/>
      <c r="C165" s="298" t="s">
        <v>387</v>
      </c>
      <c r="D165" s="294"/>
      <c r="E165" s="294"/>
      <c r="F165" s="267" t="s">
        <v>402</v>
      </c>
      <c r="G165" s="295" t="s">
        <v>437</v>
      </c>
      <c r="H165" s="295"/>
      <c r="J165" s="267" t="str">
        <f t="shared" si="14"/>
        <v>TUE:</v>
      </c>
      <c r="K165" s="295"/>
      <c r="L165" s="295"/>
      <c r="M165" s="296"/>
      <c r="N165" s="267" t="s">
        <v>402</v>
      </c>
      <c r="O165" s="295"/>
      <c r="P165" s="295"/>
      <c r="Q165" s="296"/>
      <c r="R165" s="267" t="s">
        <v>403</v>
      </c>
      <c r="S165" s="297"/>
      <c r="T165" s="297"/>
      <c r="U165" s="243"/>
      <c r="X165" s="273"/>
      <c r="Y165" s="273"/>
      <c r="Z165" s="273"/>
      <c r="AB165" s="273"/>
      <c r="AC165" s="273"/>
      <c r="AD165" s="273"/>
      <c r="AF165" s="273"/>
      <c r="AG165" s="273"/>
      <c r="AH165" s="273"/>
      <c r="AJ165" s="273"/>
      <c r="AK165" s="273"/>
      <c r="AL165" s="273"/>
      <c r="BP165" s="1" t="str">
        <f>IF(DAY_SCH!A163="","",DAY_SCH!A163)</f>
        <v/>
      </c>
    </row>
    <row r="166" spans="1:68">
      <c r="A166" s="9"/>
      <c r="B166" s="260"/>
      <c r="C166" s="298"/>
      <c r="D166" s="294"/>
      <c r="E166" s="294"/>
      <c r="F166" s="267" t="s">
        <v>407</v>
      </c>
      <c r="G166" s="295" t="s">
        <v>437</v>
      </c>
      <c r="H166" s="295"/>
      <c r="J166" s="267" t="str">
        <f t="shared" si="14"/>
        <v>WED:</v>
      </c>
      <c r="K166" s="295"/>
      <c r="L166" s="295"/>
      <c r="M166" s="296"/>
      <c r="N166" s="267" t="s">
        <v>407</v>
      </c>
      <c r="O166" s="295"/>
      <c r="P166" s="295"/>
      <c r="Q166" s="296"/>
      <c r="R166" s="267" t="s">
        <v>408</v>
      </c>
      <c r="S166" s="297"/>
      <c r="T166" s="297"/>
      <c r="U166" s="243"/>
      <c r="X166" s="273"/>
      <c r="Y166" s="273"/>
      <c r="Z166" s="273"/>
      <c r="AB166" s="273"/>
      <c r="AC166" s="273"/>
      <c r="AD166" s="273"/>
      <c r="AF166" s="273"/>
      <c r="AG166" s="273"/>
      <c r="AH166" s="273"/>
      <c r="AJ166" s="273"/>
      <c r="AK166" s="273"/>
      <c r="AL166" s="273"/>
      <c r="BP166" s="1" t="str">
        <f>IF(DAY_SCH!A164="","",DAY_SCH!A164)</f>
        <v/>
      </c>
    </row>
    <row r="167" spans="1:68" ht="24">
      <c r="A167" s="9"/>
      <c r="B167" s="260"/>
      <c r="C167" s="274" t="s">
        <v>410</v>
      </c>
      <c r="D167" s="294"/>
      <c r="E167" s="294"/>
      <c r="F167" s="267" t="s">
        <v>411</v>
      </c>
      <c r="G167" s="295" t="s">
        <v>437</v>
      </c>
      <c r="H167" s="295"/>
      <c r="J167" s="267" t="str">
        <f t="shared" si="14"/>
        <v>THU:</v>
      </c>
      <c r="K167" s="295"/>
      <c r="L167" s="295"/>
      <c r="M167" s="296"/>
      <c r="N167" s="267" t="s">
        <v>411</v>
      </c>
      <c r="O167" s="295"/>
      <c r="P167" s="295"/>
      <c r="Q167" s="296"/>
      <c r="R167" s="267" t="s">
        <v>412</v>
      </c>
      <c r="S167" s="297"/>
      <c r="T167" s="297"/>
      <c r="U167" s="243"/>
      <c r="X167" s="273"/>
      <c r="Y167" s="273"/>
      <c r="Z167" s="273"/>
      <c r="AB167" s="273"/>
      <c r="AC167" s="273"/>
      <c r="AD167" s="273"/>
      <c r="AF167" s="273"/>
      <c r="AG167" s="273"/>
      <c r="AH167" s="273"/>
      <c r="AJ167" s="273"/>
      <c r="AK167" s="273"/>
      <c r="AL167" s="273"/>
      <c r="BP167" s="1" t="str">
        <f>IF(DAY_SCH!A165="","",DAY_SCH!A165)</f>
        <v/>
      </c>
    </row>
    <row r="168" spans="1:68">
      <c r="A168" s="9"/>
      <c r="B168" s="260"/>
      <c r="C168" s="274"/>
      <c r="D168" s="294"/>
      <c r="E168" s="294"/>
      <c r="F168" s="267" t="s">
        <v>414</v>
      </c>
      <c r="G168" s="295" t="s">
        <v>437</v>
      </c>
      <c r="H168" s="295"/>
      <c r="J168" s="267" t="str">
        <f t="shared" si="14"/>
        <v>FRI:</v>
      </c>
      <c r="K168" s="295"/>
      <c r="L168" s="295"/>
      <c r="M168" s="296"/>
      <c r="N168" s="267" t="s">
        <v>414</v>
      </c>
      <c r="O168" s="295"/>
      <c r="P168" s="295"/>
      <c r="Q168" s="296"/>
      <c r="R168" s="267" t="s">
        <v>415</v>
      </c>
      <c r="S168" s="297"/>
      <c r="T168" s="297"/>
      <c r="U168" s="243"/>
      <c r="X168" s="273"/>
      <c r="Y168" s="273"/>
      <c r="Z168" s="273"/>
      <c r="AB168" s="273"/>
      <c r="AC168" s="273"/>
      <c r="AD168" s="273"/>
      <c r="AF168" s="273"/>
      <c r="AG168" s="273"/>
      <c r="AH168" s="273"/>
      <c r="AJ168" s="273"/>
      <c r="AK168" s="273"/>
      <c r="AL168" s="273"/>
      <c r="BP168" s="1" t="str">
        <f>IF(DAY_SCH!A166="","",DAY_SCH!A166)</f>
        <v/>
      </c>
    </row>
    <row r="169" spans="1:68">
      <c r="A169" s="9"/>
      <c r="B169" s="260"/>
      <c r="C169" s="238" t="str">
        <f>IF(AND(C165="Other",OR(D169=" ",D169="")),"Select Type →",IF(AND(NOT(C165="Other"),AND(NOT(D169=" "),NOT(D169=""))),"Deselect Type→",VLOOKUP(C165,$BL$6:$BM$19,2,0)))</f>
        <v>On/Off</v>
      </c>
      <c r="D169" s="299"/>
      <c r="E169" s="299"/>
      <c r="F169" s="267" t="s">
        <v>418</v>
      </c>
      <c r="G169" s="295" t="s">
        <v>437</v>
      </c>
      <c r="H169" s="295"/>
      <c r="J169" s="267" t="str">
        <f t="shared" si="14"/>
        <v>SAT:</v>
      </c>
      <c r="K169" s="295"/>
      <c r="L169" s="295"/>
      <c r="M169" s="296"/>
      <c r="N169" s="267" t="s">
        <v>418</v>
      </c>
      <c r="O169" s="295"/>
      <c r="P169" s="295"/>
      <c r="Q169" s="296"/>
      <c r="R169" s="267" t="s">
        <v>419</v>
      </c>
      <c r="S169" s="297"/>
      <c r="T169" s="297"/>
      <c r="U169" s="243"/>
      <c r="X169" s="273"/>
      <c r="Y169" s="273"/>
      <c r="Z169" s="273"/>
      <c r="AB169" s="273"/>
      <c r="AC169" s="273"/>
      <c r="AD169" s="273"/>
      <c r="AF169" s="273"/>
      <c r="AG169" s="273"/>
      <c r="AH169" s="273"/>
      <c r="AJ169" s="273"/>
      <c r="AK169" s="273"/>
      <c r="AL169" s="273"/>
      <c r="BP169" s="1" t="str">
        <f>IF(DAY_SCH!A167="","",DAY_SCH!A167)</f>
        <v/>
      </c>
    </row>
    <row r="170" spans="1:68">
      <c r="A170" s="9"/>
      <c r="B170" s="260"/>
      <c r="C170" s="238"/>
      <c r="D170" s="299"/>
      <c r="E170" s="299"/>
      <c r="F170" s="267" t="s">
        <v>421</v>
      </c>
      <c r="G170" s="295" t="s">
        <v>437</v>
      </c>
      <c r="H170" s="295"/>
      <c r="J170" s="267" t="str">
        <f t="shared" si="14"/>
        <v>HOL:</v>
      </c>
      <c r="K170" s="295"/>
      <c r="L170" s="295"/>
      <c r="M170" s="296"/>
      <c r="N170" s="267" t="s">
        <v>421</v>
      </c>
      <c r="O170" s="295"/>
      <c r="P170" s="295"/>
      <c r="Q170" s="296"/>
      <c r="R170" s="267" t="s">
        <v>391</v>
      </c>
      <c r="S170" s="297"/>
      <c r="T170" s="297"/>
      <c r="U170" s="243"/>
      <c r="X170" s="273"/>
      <c r="Y170" s="273"/>
      <c r="Z170" s="273"/>
      <c r="AB170" s="273"/>
      <c r="AC170" s="273"/>
      <c r="AD170" s="273"/>
      <c r="AF170" s="273"/>
      <c r="AG170" s="273"/>
      <c r="AH170" s="273"/>
      <c r="AJ170" s="273"/>
      <c r="AK170" s="273"/>
      <c r="AL170" s="273"/>
      <c r="BP170" s="1" t="str">
        <f>IF(DAY_SCH!A168="","",DAY_SCH!A168)</f>
        <v/>
      </c>
    </row>
    <row r="171" spans="1:68">
      <c r="A171" s="9"/>
      <c r="B171" s="260"/>
      <c r="C171" s="300"/>
      <c r="D171" s="300"/>
      <c r="E171" s="300"/>
      <c r="F171" s="267" t="s">
        <v>424</v>
      </c>
      <c r="G171" s="295" t="s">
        <v>438</v>
      </c>
      <c r="H171" s="295"/>
      <c r="J171" s="267" t="str">
        <f t="shared" si="14"/>
        <v>HDD:</v>
      </c>
      <c r="K171" s="295"/>
      <c r="L171" s="295"/>
      <c r="M171" s="296"/>
      <c r="N171" s="267" t="s">
        <v>424</v>
      </c>
      <c r="O171" s="295"/>
      <c r="P171" s="295"/>
      <c r="Q171" s="296"/>
      <c r="R171" s="267" t="s">
        <v>426</v>
      </c>
      <c r="S171" s="297"/>
      <c r="T171" s="297"/>
      <c r="U171" s="243"/>
      <c r="BP171" s="1" t="str">
        <f>IF(DAY_SCH!A169="","",DAY_SCH!A169)</f>
        <v/>
      </c>
    </row>
    <row r="172" spans="1:68">
      <c r="A172" s="9"/>
      <c r="B172" s="260"/>
      <c r="C172" s="300"/>
      <c r="D172" s="300"/>
      <c r="E172" s="300"/>
      <c r="F172" s="267" t="s">
        <v>429</v>
      </c>
      <c r="G172" s="295" t="s">
        <v>439</v>
      </c>
      <c r="H172" s="295"/>
      <c r="I172" s="296"/>
      <c r="J172" s="267" t="str">
        <f t="shared" si="14"/>
        <v>CDD:</v>
      </c>
      <c r="K172" s="295"/>
      <c r="L172" s="295"/>
      <c r="M172" s="296"/>
      <c r="N172" s="267" t="s">
        <v>429</v>
      </c>
      <c r="O172" s="295"/>
      <c r="P172" s="295"/>
      <c r="Q172" s="296"/>
      <c r="R172" s="267" t="s">
        <v>431</v>
      </c>
      <c r="S172" s="297"/>
      <c r="T172" s="297"/>
      <c r="U172" s="243"/>
      <c r="BP172" s="1" t="str">
        <f>IF(DAY_SCH!A170="","",DAY_SCH!A170)</f>
        <v/>
      </c>
    </row>
    <row r="173" spans="1:68">
      <c r="A173" s="9"/>
      <c r="B173" s="276"/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43"/>
      <c r="BP173" s="1" t="str">
        <f>IF(DAY_SCH!A171="","",DAY_SCH!A171)</f>
        <v/>
      </c>
    </row>
    <row r="174" spans="1:68" ht="28.5">
      <c r="A174" s="9">
        <f>A160+1</f>
        <v>13</v>
      </c>
      <c r="B174" s="282" t="s">
        <v>376</v>
      </c>
      <c r="C174" s="287" t="s">
        <v>435</v>
      </c>
      <c r="D174" s="287"/>
      <c r="E174" s="287"/>
      <c r="F174" s="249" t="s">
        <v>378</v>
      </c>
      <c r="G174" s="288" t="s">
        <v>379</v>
      </c>
      <c r="H174" s="289">
        <v>1</v>
      </c>
      <c r="I174" s="289"/>
      <c r="J174" s="249" t="s">
        <v>378</v>
      </c>
      <c r="K174" s="290" t="str">
        <f>IF(AND(G175="December",H175=31)," ",IF(VLOOKUP(G175,D!$G$5:$I$16,3,0)=H175,LOOKUP(VLOOKUP(G175,D!$G$4:$H$16,2,0)+1,D!$H$4:$H$16,D!$G$4:$G$16),G175))</f>
        <v>January</v>
      </c>
      <c r="L174" s="289">
        <f>IF(K174=" "," ",IF(K174=G175,H175+1,1))</f>
        <v>29</v>
      </c>
      <c r="M174" s="289"/>
      <c r="N174" s="249" t="s">
        <v>378</v>
      </c>
      <c r="O174" s="288" t="str">
        <f>IF(OR(K175=" ",AND(K175="December",L175=31))," ",IF(VLOOKUP(K175,D!$G$5:$I$16,3,0)=L175,LOOKUP(VLOOKUP(K175,D!$G$4:$H$16,2,0)+1,D!$H$4:$H$16,D!$G$4:$G$16),K175))</f>
        <v>June</v>
      </c>
      <c r="P174" s="289">
        <f>IF(O174=" "," ",IF(O174=K175,L175+1,1))</f>
        <v>9</v>
      </c>
      <c r="Q174" s="289"/>
      <c r="R174" s="249" t="s">
        <v>378</v>
      </c>
      <c r="S174" s="288" t="str">
        <f>IF(OR(O175=" ",AND(O175="December",P175=31))," ",IF(VLOOKUP(O175,D!$G$5:$I$16,3,0)=P175,LOOKUP(VLOOKUP(O175,D!$G$4:$H$16,2,0)+1,D!$H$4:$H$16,D!$G$4:$G$16),O175))</f>
        <v>September</v>
      </c>
      <c r="T174" s="289">
        <f>IF(S174=" "," ",IF(S174=O175,P175+1,1))</f>
        <v>9</v>
      </c>
      <c r="U174" s="243"/>
      <c r="BP174" s="1" t="str">
        <f>IF(DAY_SCH!A172="","",DAY_SCH!A172)</f>
        <v/>
      </c>
    </row>
    <row r="175" spans="1:68" ht="28.5">
      <c r="A175" s="9"/>
      <c r="B175" s="282"/>
      <c r="C175" s="287"/>
      <c r="D175" s="287"/>
      <c r="E175" s="287"/>
      <c r="F175" s="255" t="s">
        <v>380</v>
      </c>
      <c r="G175" s="291" t="s">
        <v>379</v>
      </c>
      <c r="H175" s="292">
        <v>28</v>
      </c>
      <c r="I175" s="292"/>
      <c r="J175" s="255" t="s">
        <v>380</v>
      </c>
      <c r="K175" s="291" t="s">
        <v>383</v>
      </c>
      <c r="L175" s="292">
        <v>8</v>
      </c>
      <c r="M175" s="292"/>
      <c r="N175" s="255" t="s">
        <v>380</v>
      </c>
      <c r="O175" s="291" t="s">
        <v>436</v>
      </c>
      <c r="P175" s="292">
        <v>8</v>
      </c>
      <c r="Q175" s="292"/>
      <c r="R175" s="255" t="s">
        <v>380</v>
      </c>
      <c r="S175" s="291" t="s">
        <v>384</v>
      </c>
      <c r="T175" s="292">
        <v>31</v>
      </c>
      <c r="U175" s="243"/>
      <c r="X175" s="273"/>
      <c r="Y175" s="273"/>
      <c r="Z175" s="273"/>
      <c r="AB175" s="273"/>
      <c r="AC175" s="273"/>
      <c r="AD175" s="273"/>
      <c r="AF175" s="273"/>
      <c r="AG175" s="273"/>
      <c r="AH175" s="273"/>
      <c r="AJ175" s="273"/>
      <c r="AK175" s="273"/>
      <c r="AL175" s="273"/>
      <c r="BP175" s="1" t="str">
        <f>IF(DAY_SCH!A173="","",DAY_SCH!A173)</f>
        <v/>
      </c>
    </row>
    <row r="176" spans="1:68">
      <c r="A176" s="9"/>
      <c r="B176" s="260"/>
      <c r="C176" s="293" t="s">
        <v>395</v>
      </c>
      <c r="D176" s="294"/>
      <c r="E176" s="294"/>
      <c r="F176" s="262"/>
      <c r="G176" s="263" t="str">
        <f>IF(OR(H175&gt;VLOOKUP(G175,D!$G$4:$I$16,3,0),AND(G175=G174,H175&lt;=H174),VLOOKUP(G175,D!$G$4:$H$16,2,0)&lt;VLOOKUP(G174,D!$G$4:$H$16,2,0)),"Must correct date!","")</f>
        <v/>
      </c>
      <c r="H176" s="263"/>
      <c r="J176" s="262"/>
      <c r="K176" s="263" t="str">
        <f>IF(AND(K175=" ",K174=" "),"",IF(OR(L175&gt;VLOOKUP(K175,D!$G$4:$I$16,3,0),AND(K175=K174,L175&lt;=L174),VLOOKUP(K175,D!$G$4:$H$16,2,0)&lt;VLOOKUP(K174,D!$G$4:$H$16,2,0)),"Must correct date!",""))</f>
        <v/>
      </c>
      <c r="L176" s="263"/>
      <c r="N176" s="262"/>
      <c r="O176" s="263" t="str">
        <f>IF(AND(O175=" ",O174=" "),"",IF(OR(P175&gt;VLOOKUP(O175,D!$G$4:$I$16,3,0),AND(O175=O174,P175&lt;=P174),VLOOKUP(O175,D!$G$4:$H$16,2,0)&lt;VLOOKUP(O174,D!$G$4:$H$16,2,0)),"Must correct date!",""))</f>
        <v/>
      </c>
      <c r="P176" s="263"/>
      <c r="R176" s="262"/>
      <c r="S176" s="265" t="str">
        <f>IF(AND(S175=" ",S174=" "),"",IF(OR(T175&gt;VLOOKUP(S175,D!$G$4:$I$16,3,0),AND(S175=S174,T175&lt;=T174),VLOOKUP(S175,D!$G$4:$H$16,2,0)&lt;VLOOKUP(S174,D!$G$4:$H$16,2,0)),"Must correct date!",""))</f>
        <v/>
      </c>
      <c r="T176" s="265"/>
      <c r="U176" s="243"/>
      <c r="X176" s="273"/>
      <c r="Y176" s="273"/>
      <c r="Z176" s="273"/>
      <c r="AB176" s="273"/>
      <c r="AC176" s="273"/>
      <c r="AD176" s="273"/>
      <c r="AF176" s="273"/>
      <c r="AG176" s="273"/>
      <c r="AH176" s="273"/>
      <c r="AJ176" s="273"/>
      <c r="AK176" s="273"/>
      <c r="AL176" s="273"/>
      <c r="BP176" s="1" t="str">
        <f>IF(DAY_SCH!A174="","",DAY_SCH!A174)</f>
        <v/>
      </c>
    </row>
    <row r="177" spans="1:68">
      <c r="A177" s="9"/>
      <c r="B177" s="260"/>
      <c r="C177" s="293"/>
      <c r="D177" s="294"/>
      <c r="E177" s="294"/>
      <c r="F177" s="267" t="s">
        <v>389</v>
      </c>
      <c r="G177" s="295" t="s">
        <v>437</v>
      </c>
      <c r="H177" s="295"/>
      <c r="I177" s="296"/>
      <c r="J177" s="267" t="str">
        <f t="shared" ref="J177:J186" si="15">$F177</f>
        <v>SUN:</v>
      </c>
      <c r="K177" s="295"/>
      <c r="L177" s="295"/>
      <c r="M177" s="296"/>
      <c r="N177" s="267" t="s">
        <v>389</v>
      </c>
      <c r="O177" s="295"/>
      <c r="P177" s="295"/>
      <c r="Q177" s="296"/>
      <c r="R177" s="267" t="s">
        <v>391</v>
      </c>
      <c r="S177" s="297"/>
      <c r="T177" s="297"/>
      <c r="U177" s="243"/>
      <c r="X177" s="273"/>
      <c r="Y177" s="273"/>
      <c r="Z177" s="273"/>
      <c r="AB177" s="273"/>
      <c r="AC177" s="273"/>
      <c r="AD177" s="273"/>
      <c r="AF177" s="273"/>
      <c r="AG177" s="273"/>
      <c r="AH177" s="273"/>
      <c r="AJ177" s="273"/>
      <c r="AK177" s="273"/>
      <c r="AL177" s="273"/>
      <c r="BP177" s="1" t="str">
        <f>IF(DAY_SCH!A175="","",DAY_SCH!A175)</f>
        <v/>
      </c>
    </row>
    <row r="178" spans="1:68">
      <c r="A178" s="9"/>
      <c r="B178" s="260"/>
      <c r="C178" s="293"/>
      <c r="D178" s="294"/>
      <c r="E178" s="294"/>
      <c r="F178" s="267" t="s">
        <v>396</v>
      </c>
      <c r="G178" s="295" t="s">
        <v>437</v>
      </c>
      <c r="H178" s="295"/>
      <c r="J178" s="267" t="str">
        <f t="shared" si="15"/>
        <v>MON:</v>
      </c>
      <c r="K178" s="295"/>
      <c r="L178" s="295"/>
      <c r="M178" s="296"/>
      <c r="N178" s="267" t="s">
        <v>396</v>
      </c>
      <c r="O178" s="295"/>
      <c r="P178" s="295"/>
      <c r="Q178" s="296"/>
      <c r="R178" s="267" t="s">
        <v>397</v>
      </c>
      <c r="S178" s="297"/>
      <c r="T178" s="297"/>
      <c r="U178" s="243"/>
      <c r="X178" s="273"/>
      <c r="Y178" s="273"/>
      <c r="Z178" s="273"/>
      <c r="AB178" s="273"/>
      <c r="AC178" s="273"/>
      <c r="AD178" s="273"/>
      <c r="AF178" s="273"/>
      <c r="AG178" s="273"/>
      <c r="AH178" s="273"/>
      <c r="AJ178" s="273"/>
      <c r="AK178" s="273"/>
      <c r="AL178" s="273"/>
      <c r="BP178" s="1" t="str">
        <f>IF(DAY_SCH!A176="","",DAY_SCH!A176)</f>
        <v/>
      </c>
    </row>
    <row r="179" spans="1:68" ht="28.5">
      <c r="A179" s="9"/>
      <c r="B179" s="260"/>
      <c r="C179" s="298" t="s">
        <v>387</v>
      </c>
      <c r="D179" s="294"/>
      <c r="E179" s="294"/>
      <c r="F179" s="267" t="s">
        <v>402</v>
      </c>
      <c r="G179" s="295" t="s">
        <v>437</v>
      </c>
      <c r="H179" s="295"/>
      <c r="J179" s="267" t="str">
        <f t="shared" si="15"/>
        <v>TUE:</v>
      </c>
      <c r="K179" s="295"/>
      <c r="L179" s="295"/>
      <c r="M179" s="296"/>
      <c r="N179" s="267" t="s">
        <v>402</v>
      </c>
      <c r="O179" s="295"/>
      <c r="P179" s="295"/>
      <c r="Q179" s="296"/>
      <c r="R179" s="267" t="s">
        <v>403</v>
      </c>
      <c r="S179" s="297"/>
      <c r="T179" s="297"/>
      <c r="U179" s="243"/>
      <c r="X179" s="273"/>
      <c r="Y179" s="273"/>
      <c r="Z179" s="273"/>
      <c r="AB179" s="273"/>
      <c r="AC179" s="273"/>
      <c r="AD179" s="273"/>
      <c r="AF179" s="273"/>
      <c r="AG179" s="273"/>
      <c r="AH179" s="273"/>
      <c r="AJ179" s="273"/>
      <c r="AK179" s="273"/>
      <c r="AL179" s="273"/>
      <c r="BP179" s="1" t="str">
        <f>IF(DAY_SCH!A177="","",DAY_SCH!A177)</f>
        <v/>
      </c>
    </row>
    <row r="180" spans="1:68">
      <c r="A180" s="9"/>
      <c r="B180" s="260"/>
      <c r="C180" s="298"/>
      <c r="D180" s="294"/>
      <c r="E180" s="294"/>
      <c r="F180" s="267" t="s">
        <v>407</v>
      </c>
      <c r="G180" s="295" t="s">
        <v>437</v>
      </c>
      <c r="H180" s="295"/>
      <c r="J180" s="267" t="str">
        <f t="shared" si="15"/>
        <v>WED:</v>
      </c>
      <c r="K180" s="295"/>
      <c r="L180" s="295"/>
      <c r="M180" s="296"/>
      <c r="N180" s="267" t="s">
        <v>407</v>
      </c>
      <c r="O180" s="295"/>
      <c r="P180" s="295"/>
      <c r="Q180" s="296"/>
      <c r="R180" s="267" t="s">
        <v>408</v>
      </c>
      <c r="S180" s="297"/>
      <c r="T180" s="297"/>
      <c r="U180" s="243"/>
      <c r="X180" s="273"/>
      <c r="Y180" s="273"/>
      <c r="Z180" s="273"/>
      <c r="AB180" s="273"/>
      <c r="AC180" s="273"/>
      <c r="AD180" s="273"/>
      <c r="AF180" s="273"/>
      <c r="AG180" s="273"/>
      <c r="AH180" s="273"/>
      <c r="AJ180" s="273"/>
      <c r="AK180" s="273"/>
      <c r="AL180" s="273"/>
      <c r="BP180" s="1" t="str">
        <f>IF(DAY_SCH!A178="","",DAY_SCH!A178)</f>
        <v/>
      </c>
    </row>
    <row r="181" spans="1:68" ht="24">
      <c r="A181" s="9"/>
      <c r="B181" s="260"/>
      <c r="C181" s="274" t="s">
        <v>410</v>
      </c>
      <c r="D181" s="294"/>
      <c r="E181" s="294"/>
      <c r="F181" s="267" t="s">
        <v>411</v>
      </c>
      <c r="G181" s="295" t="s">
        <v>437</v>
      </c>
      <c r="H181" s="295"/>
      <c r="J181" s="267" t="str">
        <f t="shared" si="15"/>
        <v>THU:</v>
      </c>
      <c r="K181" s="295"/>
      <c r="L181" s="295"/>
      <c r="M181" s="296"/>
      <c r="N181" s="267" t="s">
        <v>411</v>
      </c>
      <c r="O181" s="295"/>
      <c r="P181" s="295"/>
      <c r="Q181" s="296"/>
      <c r="R181" s="267" t="s">
        <v>412</v>
      </c>
      <c r="S181" s="297"/>
      <c r="T181" s="297"/>
      <c r="U181" s="243"/>
      <c r="X181" s="273"/>
      <c r="Y181" s="273"/>
      <c r="Z181" s="273"/>
      <c r="AB181" s="273"/>
      <c r="AC181" s="273"/>
      <c r="AD181" s="273"/>
      <c r="AF181" s="273"/>
      <c r="AG181" s="273"/>
      <c r="AH181" s="273"/>
      <c r="AJ181" s="273"/>
      <c r="AK181" s="273"/>
      <c r="AL181" s="273"/>
      <c r="BP181" s="1" t="str">
        <f>IF(DAY_SCH!A179="","",DAY_SCH!A179)</f>
        <v/>
      </c>
    </row>
    <row r="182" spans="1:68">
      <c r="A182" s="9"/>
      <c r="B182" s="260"/>
      <c r="C182" s="274"/>
      <c r="D182" s="294"/>
      <c r="E182" s="294"/>
      <c r="F182" s="267" t="s">
        <v>414</v>
      </c>
      <c r="G182" s="295" t="s">
        <v>437</v>
      </c>
      <c r="H182" s="295"/>
      <c r="J182" s="267" t="str">
        <f t="shared" si="15"/>
        <v>FRI:</v>
      </c>
      <c r="K182" s="295"/>
      <c r="L182" s="295"/>
      <c r="M182" s="296"/>
      <c r="N182" s="267" t="s">
        <v>414</v>
      </c>
      <c r="O182" s="295"/>
      <c r="P182" s="295"/>
      <c r="Q182" s="296"/>
      <c r="R182" s="267" t="s">
        <v>415</v>
      </c>
      <c r="S182" s="297"/>
      <c r="T182" s="297"/>
      <c r="U182" s="243"/>
      <c r="X182" s="273"/>
      <c r="Y182" s="273"/>
      <c r="Z182" s="273"/>
      <c r="AB182" s="273"/>
      <c r="AC182" s="273"/>
      <c r="AD182" s="273"/>
      <c r="AF182" s="273"/>
      <c r="AG182" s="273"/>
      <c r="AH182" s="273"/>
      <c r="AJ182" s="273"/>
      <c r="AK182" s="273"/>
      <c r="AL182" s="273"/>
      <c r="BP182" s="1" t="str">
        <f>IF(DAY_SCH!A180="","",DAY_SCH!A180)</f>
        <v/>
      </c>
    </row>
    <row r="183" spans="1:68">
      <c r="A183" s="9"/>
      <c r="B183" s="260"/>
      <c r="C183" s="238" t="str">
        <f>IF(AND(C179="Other",OR(D183=" ",D183="")),"Select Type →",IF(AND(NOT(C179="Other"),AND(NOT(D183=" "),NOT(D183=""))),"Deselect Type→",VLOOKUP(C179,$BL$6:$BM$19,2,0)))</f>
        <v>On/Off</v>
      </c>
      <c r="D183" s="299"/>
      <c r="E183" s="299"/>
      <c r="F183" s="267" t="s">
        <v>418</v>
      </c>
      <c r="G183" s="295" t="s">
        <v>437</v>
      </c>
      <c r="H183" s="295"/>
      <c r="J183" s="267" t="str">
        <f t="shared" si="15"/>
        <v>SAT:</v>
      </c>
      <c r="K183" s="295"/>
      <c r="L183" s="295"/>
      <c r="M183" s="296"/>
      <c r="N183" s="267" t="s">
        <v>418</v>
      </c>
      <c r="O183" s="295"/>
      <c r="P183" s="295"/>
      <c r="Q183" s="296"/>
      <c r="R183" s="267" t="s">
        <v>419</v>
      </c>
      <c r="S183" s="297"/>
      <c r="T183" s="297"/>
      <c r="U183" s="243"/>
      <c r="X183" s="273"/>
      <c r="Y183" s="273"/>
      <c r="Z183" s="273"/>
      <c r="AB183" s="273"/>
      <c r="AC183" s="273"/>
      <c r="AD183" s="273"/>
      <c r="AF183" s="273"/>
      <c r="AG183" s="273"/>
      <c r="AH183" s="273"/>
      <c r="AJ183" s="273"/>
      <c r="AK183" s="273"/>
      <c r="AL183" s="273"/>
      <c r="BP183" s="1" t="str">
        <f>IF(DAY_SCH!A181="","",DAY_SCH!A181)</f>
        <v/>
      </c>
    </row>
    <row r="184" spans="1:68">
      <c r="A184" s="9"/>
      <c r="B184" s="260"/>
      <c r="C184" s="238"/>
      <c r="D184" s="299"/>
      <c r="E184" s="299"/>
      <c r="F184" s="267" t="s">
        <v>421</v>
      </c>
      <c r="G184" s="295" t="s">
        <v>437</v>
      </c>
      <c r="H184" s="295"/>
      <c r="J184" s="267" t="str">
        <f t="shared" si="15"/>
        <v>HOL:</v>
      </c>
      <c r="K184" s="295"/>
      <c r="L184" s="295"/>
      <c r="M184" s="296"/>
      <c r="N184" s="267" t="s">
        <v>421</v>
      </c>
      <c r="O184" s="295"/>
      <c r="P184" s="295"/>
      <c r="Q184" s="296"/>
      <c r="R184" s="267" t="s">
        <v>391</v>
      </c>
      <c r="S184" s="297"/>
      <c r="T184" s="297"/>
      <c r="U184" s="243"/>
      <c r="X184" s="273"/>
      <c r="Y184" s="273"/>
      <c r="Z184" s="273"/>
      <c r="AB184" s="273"/>
      <c r="AC184" s="273"/>
      <c r="AD184" s="273"/>
      <c r="AF184" s="273"/>
      <c r="AG184" s="273"/>
      <c r="AH184" s="273"/>
      <c r="AJ184" s="273"/>
      <c r="AK184" s="273"/>
      <c r="AL184" s="273"/>
      <c r="BP184" s="1" t="str">
        <f>IF(DAY_SCH!A182="","",DAY_SCH!A182)</f>
        <v/>
      </c>
    </row>
    <row r="185" spans="1:68">
      <c r="A185" s="9"/>
      <c r="B185" s="260"/>
      <c r="C185" s="300"/>
      <c r="D185" s="300"/>
      <c r="E185" s="300"/>
      <c r="F185" s="267" t="s">
        <v>424</v>
      </c>
      <c r="G185" s="295" t="s">
        <v>438</v>
      </c>
      <c r="H185" s="295"/>
      <c r="J185" s="267" t="str">
        <f t="shared" si="15"/>
        <v>HDD:</v>
      </c>
      <c r="K185" s="295"/>
      <c r="L185" s="295"/>
      <c r="M185" s="296"/>
      <c r="N185" s="267" t="s">
        <v>424</v>
      </c>
      <c r="O185" s="295"/>
      <c r="P185" s="295"/>
      <c r="Q185" s="296"/>
      <c r="R185" s="267" t="s">
        <v>426</v>
      </c>
      <c r="S185" s="297"/>
      <c r="T185" s="297"/>
      <c r="U185" s="243"/>
      <c r="BP185" s="1" t="str">
        <f>IF(DAY_SCH!A183="","",DAY_SCH!A183)</f>
        <v/>
      </c>
    </row>
    <row r="186" spans="1:68">
      <c r="A186" s="9"/>
      <c r="B186" s="260"/>
      <c r="C186" s="300"/>
      <c r="D186" s="300"/>
      <c r="E186" s="300"/>
      <c r="F186" s="267" t="s">
        <v>429</v>
      </c>
      <c r="G186" s="295" t="s">
        <v>439</v>
      </c>
      <c r="H186" s="295"/>
      <c r="I186" s="296"/>
      <c r="J186" s="267" t="str">
        <f t="shared" si="15"/>
        <v>CDD:</v>
      </c>
      <c r="K186" s="295"/>
      <c r="L186" s="295"/>
      <c r="M186" s="296"/>
      <c r="N186" s="267" t="s">
        <v>429</v>
      </c>
      <c r="O186" s="295"/>
      <c r="P186" s="295"/>
      <c r="Q186" s="296"/>
      <c r="R186" s="267" t="s">
        <v>431</v>
      </c>
      <c r="S186" s="297"/>
      <c r="T186" s="297"/>
      <c r="U186" s="243"/>
      <c r="BP186" s="1" t="str">
        <f>IF(DAY_SCH!A184="","",DAY_SCH!A184)</f>
        <v/>
      </c>
    </row>
    <row r="187" spans="1:68">
      <c r="A187" s="9"/>
      <c r="B187" s="276"/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43"/>
      <c r="BP187" s="1" t="str">
        <f>IF(DAY_SCH!A185="","",DAY_SCH!A185)</f>
        <v/>
      </c>
    </row>
    <row r="188" spans="1:68" ht="28.5">
      <c r="A188" s="9">
        <f>A174+1</f>
        <v>14</v>
      </c>
      <c r="B188" s="282" t="s">
        <v>376</v>
      </c>
      <c r="C188" s="287" t="s">
        <v>435</v>
      </c>
      <c r="D188" s="287"/>
      <c r="E188" s="287"/>
      <c r="F188" s="249" t="s">
        <v>378</v>
      </c>
      <c r="G188" s="288" t="s">
        <v>379</v>
      </c>
      <c r="H188" s="289">
        <v>1</v>
      </c>
      <c r="I188" s="289"/>
      <c r="J188" s="249" t="s">
        <v>378</v>
      </c>
      <c r="K188" s="290" t="str">
        <f>IF(AND(G189="December",H189=31)," ",IF(VLOOKUP(G189,D!$G$5:$I$16,3,0)=H189,LOOKUP(VLOOKUP(G189,D!$G$4:$H$16,2,0)+1,D!$H$4:$H$16,D!$G$4:$G$16),G189))</f>
        <v>January</v>
      </c>
      <c r="L188" s="289">
        <f>IF(K188=" "," ",IF(K188=G189,H189+1,1))</f>
        <v>29</v>
      </c>
      <c r="M188" s="289"/>
      <c r="N188" s="249" t="s">
        <v>378</v>
      </c>
      <c r="O188" s="288" t="str">
        <f>IF(OR(K189=" ",AND(K189="December",L189=31))," ",IF(VLOOKUP(K189,D!$G$5:$I$16,3,0)=L189,LOOKUP(VLOOKUP(K189,D!$G$4:$H$16,2,0)+1,D!$H$4:$H$16,D!$G$4:$G$16),K189))</f>
        <v>June</v>
      </c>
      <c r="P188" s="289">
        <f>IF(O188=" "," ",IF(O188=K189,L189+1,1))</f>
        <v>9</v>
      </c>
      <c r="Q188" s="289"/>
      <c r="R188" s="249" t="s">
        <v>378</v>
      </c>
      <c r="S188" s="288" t="str">
        <f>IF(OR(O189=" ",AND(O189="December",P189=31))," ",IF(VLOOKUP(O189,D!$G$5:$I$16,3,0)=P189,LOOKUP(VLOOKUP(O189,D!$G$4:$H$16,2,0)+1,D!$H$4:$H$16,D!$G$4:$G$16),O189))</f>
        <v>September</v>
      </c>
      <c r="T188" s="289">
        <f>IF(S188=" "," ",IF(S188=O189,P189+1,1))</f>
        <v>9</v>
      </c>
      <c r="U188" s="243"/>
      <c r="BP188" s="1" t="str">
        <f>IF(DAY_SCH!A186="","",DAY_SCH!A186)</f>
        <v/>
      </c>
    </row>
    <row r="189" spans="1:68" ht="28.5">
      <c r="A189" s="9"/>
      <c r="B189" s="282"/>
      <c r="C189" s="287"/>
      <c r="D189" s="287"/>
      <c r="E189" s="287"/>
      <c r="F189" s="255" t="s">
        <v>380</v>
      </c>
      <c r="G189" s="291" t="s">
        <v>379</v>
      </c>
      <c r="H189" s="292">
        <v>28</v>
      </c>
      <c r="I189" s="292"/>
      <c r="J189" s="255" t="s">
        <v>380</v>
      </c>
      <c r="K189" s="291" t="s">
        <v>383</v>
      </c>
      <c r="L189" s="292">
        <v>8</v>
      </c>
      <c r="M189" s="292"/>
      <c r="N189" s="255" t="s">
        <v>380</v>
      </c>
      <c r="O189" s="291" t="s">
        <v>436</v>
      </c>
      <c r="P189" s="292">
        <v>8</v>
      </c>
      <c r="Q189" s="292"/>
      <c r="R189" s="255" t="s">
        <v>380</v>
      </c>
      <c r="S189" s="291" t="s">
        <v>384</v>
      </c>
      <c r="T189" s="292">
        <v>31</v>
      </c>
      <c r="U189" s="243"/>
      <c r="X189" s="273"/>
      <c r="Y189" s="273"/>
      <c r="Z189" s="273"/>
      <c r="AB189" s="273"/>
      <c r="AC189" s="273"/>
      <c r="AD189" s="273"/>
      <c r="AF189" s="273"/>
      <c r="AG189" s="273"/>
      <c r="AH189" s="273"/>
      <c r="AJ189" s="273"/>
      <c r="AK189" s="273"/>
      <c r="AL189" s="273"/>
      <c r="BP189" s="1" t="str">
        <f>IF(DAY_SCH!A187="","",DAY_SCH!A187)</f>
        <v/>
      </c>
    </row>
    <row r="190" spans="1:68">
      <c r="A190" s="9"/>
      <c r="B190" s="260"/>
      <c r="C190" s="293" t="s">
        <v>395</v>
      </c>
      <c r="D190" s="294"/>
      <c r="E190" s="294"/>
      <c r="F190" s="262"/>
      <c r="G190" s="263" t="str">
        <f>IF(OR(H189&gt;VLOOKUP(G189,D!$G$4:$I$16,3,0),AND(G189=G188,H189&lt;=H188),VLOOKUP(G189,D!$G$4:$H$16,2,0)&lt;VLOOKUP(G188,D!$G$4:$H$16,2,0)),"Must correct date!","")</f>
        <v/>
      </c>
      <c r="H190" s="263"/>
      <c r="J190" s="262"/>
      <c r="K190" s="263" t="str">
        <f>IF(AND(K189=" ",K188=" "),"",IF(OR(L189&gt;VLOOKUP(K189,D!$G$4:$I$16,3,0),AND(K189=K188,L189&lt;=L188),VLOOKUP(K189,D!$G$4:$H$16,2,0)&lt;VLOOKUP(K188,D!$G$4:$H$16,2,0)),"Must correct date!",""))</f>
        <v/>
      </c>
      <c r="L190" s="263"/>
      <c r="N190" s="262"/>
      <c r="O190" s="263" t="str">
        <f>IF(AND(O189=" ",O188=" "),"",IF(OR(P189&gt;VLOOKUP(O189,D!$G$4:$I$16,3,0),AND(O189=O188,P189&lt;=P188),VLOOKUP(O189,D!$G$4:$H$16,2,0)&lt;VLOOKUP(O188,D!$G$4:$H$16,2,0)),"Must correct date!",""))</f>
        <v/>
      </c>
      <c r="P190" s="263"/>
      <c r="R190" s="262"/>
      <c r="S190" s="265" t="str">
        <f>IF(AND(S189=" ",S188=" "),"",IF(OR(T189&gt;VLOOKUP(S189,D!$G$4:$I$16,3,0),AND(S189=S188,T189&lt;=T188),VLOOKUP(S189,D!$G$4:$H$16,2,0)&lt;VLOOKUP(S188,D!$G$4:$H$16,2,0)),"Must correct date!",""))</f>
        <v/>
      </c>
      <c r="T190" s="265"/>
      <c r="U190" s="243"/>
      <c r="X190" s="273"/>
      <c r="Y190" s="273"/>
      <c r="Z190" s="273"/>
      <c r="AB190" s="273"/>
      <c r="AC190" s="273"/>
      <c r="AD190" s="273"/>
      <c r="AF190" s="273"/>
      <c r="AG190" s="273"/>
      <c r="AH190" s="273"/>
      <c r="AJ190" s="273"/>
      <c r="AK190" s="273"/>
      <c r="AL190" s="273"/>
      <c r="BP190" s="1" t="str">
        <f>IF(DAY_SCH!A188="","",DAY_SCH!A188)</f>
        <v/>
      </c>
    </row>
    <row r="191" spans="1:68">
      <c r="A191" s="9"/>
      <c r="B191" s="260"/>
      <c r="C191" s="293"/>
      <c r="D191" s="294"/>
      <c r="E191" s="294"/>
      <c r="F191" s="267" t="s">
        <v>389</v>
      </c>
      <c r="G191" s="295" t="s">
        <v>437</v>
      </c>
      <c r="H191" s="295"/>
      <c r="I191" s="296"/>
      <c r="J191" s="267" t="str">
        <f t="shared" ref="J191:J200" si="16">$F191</f>
        <v>SUN:</v>
      </c>
      <c r="K191" s="295"/>
      <c r="L191" s="295"/>
      <c r="M191" s="296"/>
      <c r="N191" s="267" t="s">
        <v>389</v>
      </c>
      <c r="O191" s="295"/>
      <c r="P191" s="295"/>
      <c r="Q191" s="296"/>
      <c r="R191" s="267" t="s">
        <v>391</v>
      </c>
      <c r="S191" s="297"/>
      <c r="T191" s="297"/>
      <c r="U191" s="243"/>
      <c r="X191" s="273"/>
      <c r="Y191" s="273"/>
      <c r="Z191" s="273"/>
      <c r="AB191" s="273"/>
      <c r="AC191" s="273"/>
      <c r="AD191" s="273"/>
      <c r="AF191" s="273"/>
      <c r="AG191" s="273"/>
      <c r="AH191" s="273"/>
      <c r="AJ191" s="273"/>
      <c r="AK191" s="273"/>
      <c r="AL191" s="273"/>
      <c r="BP191" s="1" t="str">
        <f>IF(DAY_SCH!A189="","",DAY_SCH!A189)</f>
        <v/>
      </c>
    </row>
    <row r="192" spans="1:68">
      <c r="A192" s="9"/>
      <c r="B192" s="260"/>
      <c r="C192" s="293"/>
      <c r="D192" s="294"/>
      <c r="E192" s="294"/>
      <c r="F192" s="267" t="s">
        <v>396</v>
      </c>
      <c r="G192" s="295" t="s">
        <v>437</v>
      </c>
      <c r="H192" s="295"/>
      <c r="J192" s="267" t="str">
        <f t="shared" si="16"/>
        <v>MON:</v>
      </c>
      <c r="K192" s="295"/>
      <c r="L192" s="295"/>
      <c r="M192" s="296"/>
      <c r="N192" s="267" t="s">
        <v>396</v>
      </c>
      <c r="O192" s="295"/>
      <c r="P192" s="295"/>
      <c r="Q192" s="296"/>
      <c r="R192" s="267" t="s">
        <v>397</v>
      </c>
      <c r="S192" s="297"/>
      <c r="T192" s="297"/>
      <c r="U192" s="243"/>
      <c r="X192" s="273"/>
      <c r="Y192" s="273"/>
      <c r="Z192" s="273"/>
      <c r="AB192" s="273"/>
      <c r="AC192" s="273"/>
      <c r="AD192" s="273"/>
      <c r="AF192" s="273"/>
      <c r="AG192" s="273"/>
      <c r="AH192" s="273"/>
      <c r="AJ192" s="273"/>
      <c r="AK192" s="273"/>
      <c r="AL192" s="273"/>
      <c r="BP192" s="1" t="str">
        <f>IF(DAY_SCH!A190="","",DAY_SCH!A190)</f>
        <v/>
      </c>
    </row>
    <row r="193" spans="1:68" ht="28.5">
      <c r="A193" s="9"/>
      <c r="B193" s="260"/>
      <c r="C193" s="298" t="s">
        <v>387</v>
      </c>
      <c r="D193" s="294"/>
      <c r="E193" s="294"/>
      <c r="F193" s="267" t="s">
        <v>402</v>
      </c>
      <c r="G193" s="295" t="s">
        <v>437</v>
      </c>
      <c r="H193" s="295"/>
      <c r="J193" s="267" t="str">
        <f t="shared" si="16"/>
        <v>TUE:</v>
      </c>
      <c r="K193" s="295"/>
      <c r="L193" s="295"/>
      <c r="M193" s="296"/>
      <c r="N193" s="267" t="s">
        <v>402</v>
      </c>
      <c r="O193" s="295"/>
      <c r="P193" s="295"/>
      <c r="Q193" s="296"/>
      <c r="R193" s="267" t="s">
        <v>403</v>
      </c>
      <c r="S193" s="297"/>
      <c r="T193" s="297"/>
      <c r="U193" s="243"/>
      <c r="X193" s="273"/>
      <c r="Y193" s="273"/>
      <c r="Z193" s="273"/>
      <c r="AB193" s="273"/>
      <c r="AC193" s="273"/>
      <c r="AD193" s="273"/>
      <c r="AF193" s="273"/>
      <c r="AG193" s="273"/>
      <c r="AH193" s="273"/>
      <c r="AJ193" s="273"/>
      <c r="AK193" s="273"/>
      <c r="AL193" s="273"/>
      <c r="BP193" s="1" t="str">
        <f>IF(DAY_SCH!A191="","",DAY_SCH!A191)</f>
        <v/>
      </c>
    </row>
    <row r="194" spans="1:68">
      <c r="A194" s="9"/>
      <c r="B194" s="260"/>
      <c r="C194" s="298"/>
      <c r="D194" s="294"/>
      <c r="E194" s="294"/>
      <c r="F194" s="267" t="s">
        <v>407</v>
      </c>
      <c r="G194" s="295" t="s">
        <v>437</v>
      </c>
      <c r="H194" s="295"/>
      <c r="J194" s="267" t="str">
        <f t="shared" si="16"/>
        <v>WED:</v>
      </c>
      <c r="K194" s="295"/>
      <c r="L194" s="295"/>
      <c r="M194" s="296"/>
      <c r="N194" s="267" t="s">
        <v>407</v>
      </c>
      <c r="O194" s="295"/>
      <c r="P194" s="295"/>
      <c r="Q194" s="296"/>
      <c r="R194" s="267" t="s">
        <v>408</v>
      </c>
      <c r="S194" s="297"/>
      <c r="T194" s="297"/>
      <c r="U194" s="243"/>
      <c r="X194" s="273"/>
      <c r="Y194" s="273"/>
      <c r="Z194" s="273"/>
      <c r="AB194" s="273"/>
      <c r="AC194" s="273"/>
      <c r="AD194" s="273"/>
      <c r="AF194" s="273"/>
      <c r="AG194" s="273"/>
      <c r="AH194" s="273"/>
      <c r="AJ194" s="273"/>
      <c r="AK194" s="273"/>
      <c r="AL194" s="273"/>
      <c r="BP194" s="1" t="str">
        <f>IF(DAY_SCH!A192="","",DAY_SCH!A192)</f>
        <v/>
      </c>
    </row>
    <row r="195" spans="1:68" ht="24">
      <c r="A195" s="9"/>
      <c r="B195" s="260"/>
      <c r="C195" s="274" t="s">
        <v>410</v>
      </c>
      <c r="D195" s="294"/>
      <c r="E195" s="294"/>
      <c r="F195" s="267" t="s">
        <v>411</v>
      </c>
      <c r="G195" s="295" t="s">
        <v>437</v>
      </c>
      <c r="H195" s="295"/>
      <c r="J195" s="267" t="str">
        <f t="shared" si="16"/>
        <v>THU:</v>
      </c>
      <c r="K195" s="295"/>
      <c r="L195" s="295"/>
      <c r="M195" s="296"/>
      <c r="N195" s="267" t="s">
        <v>411</v>
      </c>
      <c r="O195" s="295"/>
      <c r="P195" s="295"/>
      <c r="Q195" s="296"/>
      <c r="R195" s="267" t="s">
        <v>412</v>
      </c>
      <c r="S195" s="297"/>
      <c r="T195" s="297"/>
      <c r="U195" s="243"/>
      <c r="X195" s="273"/>
      <c r="Y195" s="273"/>
      <c r="Z195" s="273"/>
      <c r="AB195" s="273"/>
      <c r="AC195" s="273"/>
      <c r="AD195" s="273"/>
      <c r="AF195" s="273"/>
      <c r="AG195" s="273"/>
      <c r="AH195" s="273"/>
      <c r="AJ195" s="273"/>
      <c r="AK195" s="273"/>
      <c r="AL195" s="273"/>
      <c r="BP195" s="1" t="str">
        <f>IF(DAY_SCH!A193="","",DAY_SCH!A193)</f>
        <v/>
      </c>
    </row>
    <row r="196" spans="1:68">
      <c r="A196" s="9"/>
      <c r="B196" s="260"/>
      <c r="C196" s="274"/>
      <c r="D196" s="294"/>
      <c r="E196" s="294"/>
      <c r="F196" s="267" t="s">
        <v>414</v>
      </c>
      <c r="G196" s="295" t="s">
        <v>437</v>
      </c>
      <c r="H196" s="295"/>
      <c r="J196" s="267" t="str">
        <f t="shared" si="16"/>
        <v>FRI:</v>
      </c>
      <c r="K196" s="295"/>
      <c r="L196" s="295"/>
      <c r="M196" s="296"/>
      <c r="N196" s="267" t="s">
        <v>414</v>
      </c>
      <c r="O196" s="295"/>
      <c r="P196" s="295"/>
      <c r="Q196" s="296"/>
      <c r="R196" s="267" t="s">
        <v>415</v>
      </c>
      <c r="S196" s="297"/>
      <c r="T196" s="297"/>
      <c r="U196" s="243"/>
      <c r="X196" s="273"/>
      <c r="Y196" s="273"/>
      <c r="Z196" s="273"/>
      <c r="AB196" s="273"/>
      <c r="AC196" s="273"/>
      <c r="AD196" s="273"/>
      <c r="AF196" s="273"/>
      <c r="AG196" s="273"/>
      <c r="AH196" s="273"/>
      <c r="AJ196" s="273"/>
      <c r="AK196" s="273"/>
      <c r="AL196" s="273"/>
      <c r="BP196" s="1" t="str">
        <f>IF(DAY_SCH!A194="","",DAY_SCH!A194)</f>
        <v/>
      </c>
    </row>
    <row r="197" spans="1:68">
      <c r="A197" s="9"/>
      <c r="B197" s="260"/>
      <c r="C197" s="238" t="str">
        <f>IF(AND(C193="Other",OR(D197=" ",D197="")),"Select Type →",IF(AND(NOT(C193="Other"),AND(NOT(D197=" "),NOT(D197=""))),"Deselect Type→",VLOOKUP(C193,$BL$6:$BM$19,2,0)))</f>
        <v>On/Off</v>
      </c>
      <c r="D197" s="299"/>
      <c r="E197" s="299"/>
      <c r="F197" s="267" t="s">
        <v>418</v>
      </c>
      <c r="G197" s="295" t="s">
        <v>437</v>
      </c>
      <c r="H197" s="295"/>
      <c r="J197" s="267" t="str">
        <f t="shared" si="16"/>
        <v>SAT:</v>
      </c>
      <c r="K197" s="295"/>
      <c r="L197" s="295"/>
      <c r="M197" s="296"/>
      <c r="N197" s="267" t="s">
        <v>418</v>
      </c>
      <c r="O197" s="295"/>
      <c r="P197" s="295"/>
      <c r="Q197" s="296"/>
      <c r="R197" s="267" t="s">
        <v>419</v>
      </c>
      <c r="S197" s="297"/>
      <c r="T197" s="297"/>
      <c r="U197" s="243"/>
      <c r="X197" s="273"/>
      <c r="Y197" s="273"/>
      <c r="Z197" s="273"/>
      <c r="AB197" s="273"/>
      <c r="AC197" s="273"/>
      <c r="AD197" s="273"/>
      <c r="AF197" s="273"/>
      <c r="AG197" s="273"/>
      <c r="AH197" s="273"/>
      <c r="AJ197" s="273"/>
      <c r="AK197" s="273"/>
      <c r="AL197" s="273"/>
      <c r="BP197" s="1" t="str">
        <f>IF(DAY_SCH!A195="","",DAY_SCH!A195)</f>
        <v/>
      </c>
    </row>
    <row r="198" spans="1:68">
      <c r="A198" s="9"/>
      <c r="B198" s="260"/>
      <c r="C198" s="238"/>
      <c r="D198" s="299"/>
      <c r="E198" s="299"/>
      <c r="F198" s="267" t="s">
        <v>421</v>
      </c>
      <c r="G198" s="295" t="s">
        <v>437</v>
      </c>
      <c r="H198" s="295"/>
      <c r="J198" s="267" t="str">
        <f t="shared" si="16"/>
        <v>HOL:</v>
      </c>
      <c r="K198" s="295"/>
      <c r="L198" s="295"/>
      <c r="M198" s="296"/>
      <c r="N198" s="267" t="s">
        <v>421</v>
      </c>
      <c r="O198" s="295"/>
      <c r="P198" s="295"/>
      <c r="Q198" s="296"/>
      <c r="R198" s="267" t="s">
        <v>391</v>
      </c>
      <c r="S198" s="297"/>
      <c r="T198" s="297"/>
      <c r="U198" s="243"/>
      <c r="X198" s="273"/>
      <c r="Y198" s="273"/>
      <c r="Z198" s="273"/>
      <c r="AB198" s="273"/>
      <c r="AC198" s="273"/>
      <c r="AD198" s="273"/>
      <c r="AF198" s="273"/>
      <c r="AG198" s="273"/>
      <c r="AH198" s="273"/>
      <c r="AJ198" s="273"/>
      <c r="AK198" s="273"/>
      <c r="AL198" s="273"/>
      <c r="BP198" s="1" t="str">
        <f>IF(DAY_SCH!A196="","",DAY_SCH!A196)</f>
        <v/>
      </c>
    </row>
    <row r="199" spans="1:68">
      <c r="A199" s="9"/>
      <c r="B199" s="260"/>
      <c r="C199" s="300"/>
      <c r="D199" s="300"/>
      <c r="E199" s="300"/>
      <c r="F199" s="267" t="s">
        <v>424</v>
      </c>
      <c r="G199" s="295" t="s">
        <v>438</v>
      </c>
      <c r="H199" s="295"/>
      <c r="J199" s="267" t="str">
        <f t="shared" si="16"/>
        <v>HDD:</v>
      </c>
      <c r="K199" s="295"/>
      <c r="L199" s="295"/>
      <c r="M199" s="296"/>
      <c r="N199" s="267" t="s">
        <v>424</v>
      </c>
      <c r="O199" s="295"/>
      <c r="P199" s="295"/>
      <c r="Q199" s="296"/>
      <c r="R199" s="267" t="s">
        <v>426</v>
      </c>
      <c r="S199" s="297"/>
      <c r="T199" s="297"/>
      <c r="U199" s="243"/>
      <c r="BP199" s="1" t="str">
        <f>IF(DAY_SCH!A197="","",DAY_SCH!A197)</f>
        <v/>
      </c>
    </row>
    <row r="200" spans="1:68">
      <c r="A200" s="9"/>
      <c r="B200" s="260"/>
      <c r="C200" s="300"/>
      <c r="D200" s="300"/>
      <c r="E200" s="300"/>
      <c r="F200" s="267" t="s">
        <v>429</v>
      </c>
      <c r="G200" s="295" t="s">
        <v>439</v>
      </c>
      <c r="H200" s="295"/>
      <c r="I200" s="296"/>
      <c r="J200" s="267" t="str">
        <f t="shared" si="16"/>
        <v>CDD:</v>
      </c>
      <c r="K200" s="295"/>
      <c r="L200" s="295"/>
      <c r="M200" s="296"/>
      <c r="N200" s="267" t="s">
        <v>429</v>
      </c>
      <c r="O200" s="295"/>
      <c r="P200" s="295"/>
      <c r="Q200" s="296"/>
      <c r="R200" s="267" t="s">
        <v>431</v>
      </c>
      <c r="S200" s="297"/>
      <c r="T200" s="297"/>
      <c r="U200" s="243"/>
      <c r="BP200" s="1" t="str">
        <f>IF(DAY_SCH!A198="","",DAY_SCH!A198)</f>
        <v/>
      </c>
    </row>
    <row r="201" spans="1:68">
      <c r="A201" s="9"/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43"/>
      <c r="BP201" s="1" t="str">
        <f>IF(DAY_SCH!A199="","",DAY_SCH!A199)</f>
        <v/>
      </c>
    </row>
    <row r="202" spans="1:68" ht="28.5">
      <c r="A202" s="9">
        <f>A188+1</f>
        <v>15</v>
      </c>
      <c r="B202" s="282" t="s">
        <v>376</v>
      </c>
      <c r="C202" s="287" t="s">
        <v>435</v>
      </c>
      <c r="D202" s="287"/>
      <c r="E202" s="287"/>
      <c r="F202" s="249" t="s">
        <v>378</v>
      </c>
      <c r="G202" s="288" t="s">
        <v>379</v>
      </c>
      <c r="H202" s="289">
        <v>1</v>
      </c>
      <c r="I202" s="289"/>
      <c r="J202" s="249" t="s">
        <v>378</v>
      </c>
      <c r="K202" s="290" t="str">
        <f>IF(AND(G203="December",H203=31)," ",IF(VLOOKUP(G203,D!$G$5:$I$16,3,0)=H203,LOOKUP(VLOOKUP(G203,D!$G$4:$H$16,2,0)+1,D!$H$4:$H$16,D!$G$4:$G$16),G203))</f>
        <v>January</v>
      </c>
      <c r="L202" s="289">
        <f>IF(K202=" "," ",IF(K202=G203,H203+1,1))</f>
        <v>29</v>
      </c>
      <c r="M202" s="289"/>
      <c r="N202" s="249" t="s">
        <v>378</v>
      </c>
      <c r="O202" s="288" t="str">
        <f>IF(OR(K203=" ",AND(K203="December",L203=31))," ",IF(VLOOKUP(K203,D!$G$5:$I$16,3,0)=L203,LOOKUP(VLOOKUP(K203,D!$G$4:$H$16,2,0)+1,D!$H$4:$H$16,D!$G$4:$G$16),K203))</f>
        <v>June</v>
      </c>
      <c r="P202" s="289">
        <f>IF(O202=" "," ",IF(O202=K203,L203+1,1))</f>
        <v>9</v>
      </c>
      <c r="Q202" s="289"/>
      <c r="R202" s="249" t="s">
        <v>378</v>
      </c>
      <c r="S202" s="288" t="str">
        <f>IF(OR(O203=" ",AND(O203="December",P203=31))," ",IF(VLOOKUP(O203,D!$G$5:$I$16,3,0)=P203,LOOKUP(VLOOKUP(O203,D!$G$4:$H$16,2,0)+1,D!$H$4:$H$16,D!$G$4:$G$16),O203))</f>
        <v>September</v>
      </c>
      <c r="T202" s="289">
        <f>IF(S202=" "," ",IF(S202=O203,P203+1,1))</f>
        <v>9</v>
      </c>
      <c r="U202" s="243"/>
      <c r="BP202" s="1" t="str">
        <f>IF(DAY_SCH!A200="","",DAY_SCH!A200)</f>
        <v/>
      </c>
    </row>
    <row r="203" spans="1:68" ht="28.5">
      <c r="A203" s="9"/>
      <c r="B203" s="282"/>
      <c r="C203" s="287"/>
      <c r="D203" s="287"/>
      <c r="E203" s="287"/>
      <c r="F203" s="255" t="s">
        <v>380</v>
      </c>
      <c r="G203" s="291" t="s">
        <v>379</v>
      </c>
      <c r="H203" s="292">
        <v>28</v>
      </c>
      <c r="I203" s="292"/>
      <c r="J203" s="255" t="s">
        <v>380</v>
      </c>
      <c r="K203" s="291" t="s">
        <v>383</v>
      </c>
      <c r="L203" s="292">
        <v>8</v>
      </c>
      <c r="M203" s="292"/>
      <c r="N203" s="255" t="s">
        <v>380</v>
      </c>
      <c r="O203" s="291" t="s">
        <v>436</v>
      </c>
      <c r="P203" s="292">
        <v>8</v>
      </c>
      <c r="Q203" s="292"/>
      <c r="R203" s="255" t="s">
        <v>380</v>
      </c>
      <c r="S203" s="291" t="s">
        <v>384</v>
      </c>
      <c r="T203" s="292">
        <v>31</v>
      </c>
      <c r="U203" s="243"/>
      <c r="X203" s="273"/>
      <c r="Y203" s="273"/>
      <c r="Z203" s="273"/>
      <c r="AB203" s="273"/>
      <c r="AC203" s="273"/>
      <c r="AD203" s="273"/>
      <c r="AF203" s="273"/>
      <c r="AG203" s="273"/>
      <c r="AH203" s="273"/>
      <c r="AJ203" s="273"/>
      <c r="AK203" s="273"/>
      <c r="AL203" s="273"/>
      <c r="BP203" s="1" t="str">
        <f>IF(DAY_SCH!A201="","",DAY_SCH!A201)</f>
        <v/>
      </c>
    </row>
    <row r="204" spans="1:68">
      <c r="A204" s="9"/>
      <c r="B204" s="260"/>
      <c r="C204" s="293" t="s">
        <v>395</v>
      </c>
      <c r="D204" s="294"/>
      <c r="E204" s="294"/>
      <c r="F204" s="262"/>
      <c r="G204" s="263" t="str">
        <f>IF(OR(H203&gt;VLOOKUP(G203,D!$G$4:$I$16,3,0),AND(G203=G202,H203&lt;=H202),VLOOKUP(G203,D!$G$4:$H$16,2,0)&lt;VLOOKUP(G202,D!$G$4:$H$16,2,0)),"Must correct date!","")</f>
        <v/>
      </c>
      <c r="H204" s="263"/>
      <c r="J204" s="262"/>
      <c r="K204" s="263" t="str">
        <f>IF(AND(K203=" ",K202=" "),"",IF(OR(L203&gt;VLOOKUP(K203,D!$G$4:$I$16,3,0),AND(K203=K202,L203&lt;=L202),VLOOKUP(K203,D!$G$4:$H$16,2,0)&lt;VLOOKUP(K202,D!$G$4:$H$16,2,0)),"Must correct date!",""))</f>
        <v/>
      </c>
      <c r="L204" s="263"/>
      <c r="N204" s="262"/>
      <c r="O204" s="263" t="str">
        <f>IF(AND(O203=" ",O202=" "),"",IF(OR(P203&gt;VLOOKUP(O203,D!$G$4:$I$16,3,0),AND(O203=O202,P203&lt;=P202),VLOOKUP(O203,D!$G$4:$H$16,2,0)&lt;VLOOKUP(O202,D!$G$4:$H$16,2,0)),"Must correct date!",""))</f>
        <v/>
      </c>
      <c r="P204" s="263"/>
      <c r="R204" s="262"/>
      <c r="S204" s="265" t="str">
        <f>IF(AND(S203=" ",S202=" "),"",IF(OR(T203&gt;VLOOKUP(S203,D!$G$4:$I$16,3,0),AND(S203=S202,T203&lt;=T202),VLOOKUP(S203,D!$G$4:$H$16,2,0)&lt;VLOOKUP(S202,D!$G$4:$H$16,2,0)),"Must correct date!",""))</f>
        <v/>
      </c>
      <c r="T204" s="265"/>
      <c r="U204" s="243"/>
      <c r="X204" s="273"/>
      <c r="Y204" s="273"/>
      <c r="Z204" s="273"/>
      <c r="AB204" s="273"/>
      <c r="AC204" s="273"/>
      <c r="AD204" s="273"/>
      <c r="AF204" s="273"/>
      <c r="AG204" s="273"/>
      <c r="AH204" s="273"/>
      <c r="AJ204" s="273"/>
      <c r="AK204" s="273"/>
      <c r="AL204" s="273"/>
      <c r="BP204" s="1" t="str">
        <f>IF(DAY_SCH!A202="","",DAY_SCH!A202)</f>
        <v/>
      </c>
    </row>
    <row r="205" spans="1:68">
      <c r="A205" s="9"/>
      <c r="B205" s="260"/>
      <c r="C205" s="293"/>
      <c r="D205" s="294"/>
      <c r="E205" s="294"/>
      <c r="F205" s="267" t="s">
        <v>389</v>
      </c>
      <c r="G205" s="295" t="s">
        <v>437</v>
      </c>
      <c r="H205" s="295"/>
      <c r="I205" s="296"/>
      <c r="J205" s="267" t="str">
        <f t="shared" ref="J205:J214" si="17">$F205</f>
        <v>SUN:</v>
      </c>
      <c r="K205" s="295"/>
      <c r="L205" s="295"/>
      <c r="M205" s="296"/>
      <c r="N205" s="267" t="s">
        <v>389</v>
      </c>
      <c r="O205" s="295"/>
      <c r="P205" s="295"/>
      <c r="Q205" s="296"/>
      <c r="R205" s="267" t="s">
        <v>391</v>
      </c>
      <c r="S205" s="297"/>
      <c r="T205" s="297"/>
      <c r="U205" s="243"/>
      <c r="X205" s="273"/>
      <c r="Y205" s="273"/>
      <c r="Z205" s="273"/>
      <c r="AB205" s="273"/>
      <c r="AC205" s="273"/>
      <c r="AD205" s="273"/>
      <c r="AF205" s="273"/>
      <c r="AG205" s="273"/>
      <c r="AH205" s="273"/>
      <c r="AJ205" s="273"/>
      <c r="AK205" s="273"/>
      <c r="AL205" s="273"/>
    </row>
    <row r="206" spans="1:68">
      <c r="A206" s="9"/>
      <c r="B206" s="260"/>
      <c r="C206" s="293"/>
      <c r="D206" s="294"/>
      <c r="E206" s="294"/>
      <c r="F206" s="267" t="s">
        <v>396</v>
      </c>
      <c r="G206" s="295" t="s">
        <v>437</v>
      </c>
      <c r="H206" s="295"/>
      <c r="J206" s="267" t="str">
        <f t="shared" si="17"/>
        <v>MON:</v>
      </c>
      <c r="K206" s="295"/>
      <c r="L206" s="295"/>
      <c r="M206" s="296"/>
      <c r="N206" s="267" t="s">
        <v>396</v>
      </c>
      <c r="O206" s="295"/>
      <c r="P206" s="295"/>
      <c r="Q206" s="296"/>
      <c r="R206" s="267" t="s">
        <v>397</v>
      </c>
      <c r="S206" s="297"/>
      <c r="T206" s="297"/>
      <c r="U206" s="243"/>
      <c r="X206" s="273"/>
      <c r="Y206" s="273"/>
      <c r="Z206" s="273"/>
      <c r="AB206" s="273"/>
      <c r="AC206" s="273"/>
      <c r="AD206" s="273"/>
      <c r="AF206" s="273"/>
      <c r="AG206" s="273"/>
      <c r="AH206" s="273"/>
      <c r="AJ206" s="273"/>
      <c r="AK206" s="273"/>
      <c r="AL206" s="273"/>
    </row>
    <row r="207" spans="1:68" ht="28.5">
      <c r="A207" s="9"/>
      <c r="B207" s="260"/>
      <c r="C207" s="298" t="s">
        <v>387</v>
      </c>
      <c r="D207" s="294"/>
      <c r="E207" s="294"/>
      <c r="F207" s="267" t="s">
        <v>402</v>
      </c>
      <c r="G207" s="295" t="s">
        <v>437</v>
      </c>
      <c r="H207" s="295"/>
      <c r="J207" s="267" t="str">
        <f t="shared" si="17"/>
        <v>TUE:</v>
      </c>
      <c r="K207" s="295"/>
      <c r="L207" s="295"/>
      <c r="M207" s="296"/>
      <c r="N207" s="267" t="s">
        <v>402</v>
      </c>
      <c r="O207" s="295"/>
      <c r="P207" s="295"/>
      <c r="Q207" s="296"/>
      <c r="R207" s="267" t="s">
        <v>403</v>
      </c>
      <c r="S207" s="297"/>
      <c r="T207" s="297"/>
      <c r="U207" s="243"/>
      <c r="X207" s="273"/>
      <c r="Y207" s="273"/>
      <c r="Z207" s="273"/>
      <c r="AB207" s="273"/>
      <c r="AC207" s="273"/>
      <c r="AD207" s="273"/>
      <c r="AF207" s="273"/>
      <c r="AG207" s="273"/>
      <c r="AH207" s="273"/>
      <c r="AJ207" s="273"/>
      <c r="AK207" s="273"/>
      <c r="AL207" s="273"/>
    </row>
    <row r="208" spans="1:68">
      <c r="A208" s="9"/>
      <c r="B208" s="260"/>
      <c r="C208" s="298"/>
      <c r="D208" s="294"/>
      <c r="E208" s="294"/>
      <c r="F208" s="267" t="s">
        <v>407</v>
      </c>
      <c r="G208" s="295" t="s">
        <v>437</v>
      </c>
      <c r="H208" s="295"/>
      <c r="J208" s="267" t="str">
        <f t="shared" si="17"/>
        <v>WED:</v>
      </c>
      <c r="K208" s="295"/>
      <c r="L208" s="295"/>
      <c r="M208" s="296"/>
      <c r="N208" s="267" t="s">
        <v>407</v>
      </c>
      <c r="O208" s="295"/>
      <c r="P208" s="295"/>
      <c r="Q208" s="296"/>
      <c r="R208" s="267" t="s">
        <v>408</v>
      </c>
      <c r="S208" s="297"/>
      <c r="T208" s="297"/>
      <c r="U208" s="243"/>
      <c r="X208" s="273"/>
      <c r="Y208" s="273"/>
      <c r="Z208" s="273"/>
      <c r="AB208" s="273"/>
      <c r="AC208" s="273"/>
      <c r="AD208" s="273"/>
      <c r="AF208" s="273"/>
      <c r="AG208" s="273"/>
      <c r="AH208" s="273"/>
      <c r="AJ208" s="273"/>
      <c r="AK208" s="273"/>
      <c r="AL208" s="273"/>
    </row>
    <row r="209" spans="1:38" ht="24">
      <c r="A209" s="9"/>
      <c r="B209" s="260"/>
      <c r="C209" s="274" t="s">
        <v>410</v>
      </c>
      <c r="D209" s="294"/>
      <c r="E209" s="294"/>
      <c r="F209" s="267" t="s">
        <v>411</v>
      </c>
      <c r="G209" s="295" t="s">
        <v>437</v>
      </c>
      <c r="H209" s="295"/>
      <c r="J209" s="267" t="str">
        <f t="shared" si="17"/>
        <v>THU:</v>
      </c>
      <c r="K209" s="295"/>
      <c r="L209" s="295"/>
      <c r="M209" s="296"/>
      <c r="N209" s="267" t="s">
        <v>411</v>
      </c>
      <c r="O209" s="295"/>
      <c r="P209" s="295"/>
      <c r="Q209" s="296"/>
      <c r="R209" s="267" t="s">
        <v>412</v>
      </c>
      <c r="S209" s="297"/>
      <c r="T209" s="297"/>
      <c r="U209" s="243"/>
      <c r="X209" s="273"/>
      <c r="Y209" s="273"/>
      <c r="Z209" s="273"/>
      <c r="AB209" s="273"/>
      <c r="AC209" s="273"/>
      <c r="AD209" s="273"/>
      <c r="AF209" s="273"/>
      <c r="AG209" s="273"/>
      <c r="AH209" s="273"/>
      <c r="AJ209" s="273"/>
      <c r="AK209" s="273"/>
      <c r="AL209" s="273"/>
    </row>
    <row r="210" spans="1:38">
      <c r="A210" s="9"/>
      <c r="B210" s="260"/>
      <c r="C210" s="274"/>
      <c r="D210" s="294"/>
      <c r="E210" s="294"/>
      <c r="F210" s="267" t="s">
        <v>414</v>
      </c>
      <c r="G210" s="295" t="s">
        <v>437</v>
      </c>
      <c r="H210" s="295"/>
      <c r="J210" s="267" t="str">
        <f t="shared" si="17"/>
        <v>FRI:</v>
      </c>
      <c r="K210" s="295"/>
      <c r="L210" s="295"/>
      <c r="M210" s="296"/>
      <c r="N210" s="267" t="s">
        <v>414</v>
      </c>
      <c r="O210" s="295"/>
      <c r="P210" s="295"/>
      <c r="Q210" s="296"/>
      <c r="R210" s="267" t="s">
        <v>415</v>
      </c>
      <c r="S210" s="297"/>
      <c r="T210" s="297"/>
      <c r="U210" s="243"/>
      <c r="X210" s="273"/>
      <c r="Y210" s="273"/>
      <c r="Z210" s="273"/>
      <c r="AB210" s="273"/>
      <c r="AC210" s="273"/>
      <c r="AD210" s="273"/>
      <c r="AF210" s="273"/>
      <c r="AG210" s="273"/>
      <c r="AH210" s="273"/>
      <c r="AJ210" s="273"/>
      <c r="AK210" s="273"/>
      <c r="AL210" s="273"/>
    </row>
    <row r="211" spans="1:38">
      <c r="A211" s="9"/>
      <c r="B211" s="260"/>
      <c r="C211" s="238" t="str">
        <f>IF(AND(C207="Other",OR(D211=" ",D211="")),"Select Type →",IF(AND(NOT(C207="Other"),AND(NOT(D211=" "),NOT(D211=""))),"Deselect Type→",VLOOKUP(C207,$BL$6:$BM$19,2,0)))</f>
        <v>On/Off</v>
      </c>
      <c r="D211" s="299"/>
      <c r="E211" s="299"/>
      <c r="F211" s="267" t="s">
        <v>418</v>
      </c>
      <c r="G211" s="295" t="s">
        <v>437</v>
      </c>
      <c r="H211" s="295"/>
      <c r="J211" s="267" t="str">
        <f t="shared" si="17"/>
        <v>SAT:</v>
      </c>
      <c r="K211" s="295"/>
      <c r="L211" s="295"/>
      <c r="M211" s="296"/>
      <c r="N211" s="267" t="s">
        <v>418</v>
      </c>
      <c r="O211" s="295"/>
      <c r="P211" s="295"/>
      <c r="Q211" s="296"/>
      <c r="R211" s="267" t="s">
        <v>419</v>
      </c>
      <c r="S211" s="297"/>
      <c r="T211" s="297"/>
      <c r="U211" s="243"/>
      <c r="X211" s="273"/>
      <c r="Y211" s="273"/>
      <c r="Z211" s="273"/>
      <c r="AB211" s="273"/>
      <c r="AC211" s="273"/>
      <c r="AD211" s="273"/>
      <c r="AF211" s="273"/>
      <c r="AG211" s="273"/>
      <c r="AH211" s="273"/>
      <c r="AJ211" s="273"/>
      <c r="AK211" s="273"/>
      <c r="AL211" s="273"/>
    </row>
    <row r="212" spans="1:38">
      <c r="A212" s="9"/>
      <c r="B212" s="260"/>
      <c r="C212" s="238"/>
      <c r="D212" s="299"/>
      <c r="E212" s="299"/>
      <c r="F212" s="267" t="s">
        <v>421</v>
      </c>
      <c r="G212" s="295" t="s">
        <v>437</v>
      </c>
      <c r="H212" s="295"/>
      <c r="J212" s="267" t="str">
        <f t="shared" si="17"/>
        <v>HOL:</v>
      </c>
      <c r="K212" s="295"/>
      <c r="L212" s="295"/>
      <c r="M212" s="296"/>
      <c r="N212" s="267" t="s">
        <v>421</v>
      </c>
      <c r="O212" s="295"/>
      <c r="P212" s="295"/>
      <c r="Q212" s="296"/>
      <c r="R212" s="267" t="s">
        <v>391</v>
      </c>
      <c r="S212" s="297"/>
      <c r="T212" s="297"/>
      <c r="U212" s="243"/>
      <c r="X212" s="273"/>
      <c r="Y212" s="273"/>
      <c r="Z212" s="273"/>
      <c r="AB212" s="273"/>
      <c r="AC212" s="273"/>
      <c r="AD212" s="273"/>
      <c r="AF212" s="273"/>
      <c r="AG212" s="273"/>
      <c r="AH212" s="273"/>
      <c r="AJ212" s="273"/>
      <c r="AK212" s="273"/>
      <c r="AL212" s="273"/>
    </row>
    <row r="213" spans="1:38">
      <c r="A213" s="9"/>
      <c r="B213" s="260"/>
      <c r="C213" s="300"/>
      <c r="D213" s="300"/>
      <c r="E213" s="300"/>
      <c r="F213" s="267" t="s">
        <v>424</v>
      </c>
      <c r="G213" s="295" t="s">
        <v>438</v>
      </c>
      <c r="H213" s="295"/>
      <c r="J213" s="267" t="str">
        <f t="shared" si="17"/>
        <v>HDD:</v>
      </c>
      <c r="K213" s="295"/>
      <c r="L213" s="295"/>
      <c r="M213" s="296"/>
      <c r="N213" s="267" t="s">
        <v>424</v>
      </c>
      <c r="O213" s="295"/>
      <c r="P213" s="295"/>
      <c r="Q213" s="296"/>
      <c r="R213" s="267" t="s">
        <v>426</v>
      </c>
      <c r="S213" s="297"/>
      <c r="T213" s="297"/>
      <c r="U213" s="243"/>
    </row>
    <row r="214" spans="1:38">
      <c r="A214" s="9"/>
      <c r="B214" s="260"/>
      <c r="C214" s="300"/>
      <c r="D214" s="300"/>
      <c r="E214" s="300"/>
      <c r="F214" s="267" t="s">
        <v>429</v>
      </c>
      <c r="G214" s="295" t="s">
        <v>439</v>
      </c>
      <c r="H214" s="295"/>
      <c r="I214" s="296"/>
      <c r="J214" s="267" t="str">
        <f t="shared" si="17"/>
        <v>CDD:</v>
      </c>
      <c r="K214" s="295"/>
      <c r="L214" s="295"/>
      <c r="M214" s="296"/>
      <c r="N214" s="267" t="s">
        <v>429</v>
      </c>
      <c r="O214" s="295"/>
      <c r="P214" s="295"/>
      <c r="Q214" s="296"/>
      <c r="R214" s="267" t="s">
        <v>431</v>
      </c>
      <c r="S214" s="297"/>
      <c r="T214" s="297"/>
      <c r="U214" s="243"/>
    </row>
    <row r="215" spans="1:38">
      <c r="A215" s="9"/>
      <c r="B215" s="276"/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43"/>
    </row>
    <row r="216" spans="1:38" ht="28.5">
      <c r="A216" s="9">
        <f>A202+1</f>
        <v>16</v>
      </c>
      <c r="B216" s="282" t="s">
        <v>376</v>
      </c>
      <c r="C216" s="287" t="s">
        <v>435</v>
      </c>
      <c r="D216" s="287"/>
      <c r="E216" s="287"/>
      <c r="F216" s="249" t="s">
        <v>378</v>
      </c>
      <c r="G216" s="288" t="s">
        <v>379</v>
      </c>
      <c r="H216" s="289">
        <v>1</v>
      </c>
      <c r="I216" s="289"/>
      <c r="J216" s="249" t="s">
        <v>378</v>
      </c>
      <c r="K216" s="290" t="str">
        <f>IF(AND(G217="December",H217=31)," ",IF(VLOOKUP(G217,D!$G$5:$I$16,3,0)=H217,LOOKUP(VLOOKUP(G217,D!$G$4:$H$16,2,0)+1,D!$H$4:$H$16,D!$G$4:$G$16),G217))</f>
        <v>January</v>
      </c>
      <c r="L216" s="289">
        <f>IF(K216=" "," ",IF(K216=G217,H217+1,1))</f>
        <v>29</v>
      </c>
      <c r="M216" s="289"/>
      <c r="N216" s="249" t="s">
        <v>378</v>
      </c>
      <c r="O216" s="288" t="str">
        <f>IF(OR(K217=" ",AND(K217="December",L217=31))," ",IF(VLOOKUP(K217,D!$G$5:$I$16,3,0)=L217,LOOKUP(VLOOKUP(K217,D!$G$4:$H$16,2,0)+1,D!$H$4:$H$16,D!$G$4:$G$16),K217))</f>
        <v>June</v>
      </c>
      <c r="P216" s="289">
        <f>IF(O216=" "," ",IF(O216=K217,L217+1,1))</f>
        <v>9</v>
      </c>
      <c r="Q216" s="289"/>
      <c r="R216" s="249" t="s">
        <v>378</v>
      </c>
      <c r="S216" s="288" t="str">
        <f>IF(OR(O217=" ",AND(O217="December",P217=31))," ",IF(VLOOKUP(O217,D!$G$5:$I$16,3,0)=P217,LOOKUP(VLOOKUP(O217,D!$G$4:$H$16,2,0)+1,D!$H$4:$H$16,D!$G$4:$G$16),O217))</f>
        <v>September</v>
      </c>
      <c r="T216" s="289">
        <f>IF(S216=" "," ",IF(S216=O217,P217+1,1))</f>
        <v>9</v>
      </c>
      <c r="U216" s="243"/>
    </row>
    <row r="217" spans="1:38" ht="28.5">
      <c r="A217" s="9"/>
      <c r="B217" s="282"/>
      <c r="C217" s="287"/>
      <c r="D217" s="287"/>
      <c r="E217" s="287"/>
      <c r="F217" s="255" t="s">
        <v>380</v>
      </c>
      <c r="G217" s="291" t="s">
        <v>379</v>
      </c>
      <c r="H217" s="292">
        <v>28</v>
      </c>
      <c r="I217" s="292"/>
      <c r="J217" s="255" t="s">
        <v>380</v>
      </c>
      <c r="K217" s="291" t="s">
        <v>383</v>
      </c>
      <c r="L217" s="292">
        <v>8</v>
      </c>
      <c r="M217" s="292"/>
      <c r="N217" s="255" t="s">
        <v>380</v>
      </c>
      <c r="O217" s="291" t="s">
        <v>436</v>
      </c>
      <c r="P217" s="292">
        <v>8</v>
      </c>
      <c r="Q217" s="292"/>
      <c r="R217" s="255" t="s">
        <v>380</v>
      </c>
      <c r="S217" s="291" t="s">
        <v>384</v>
      </c>
      <c r="T217" s="292">
        <v>31</v>
      </c>
      <c r="U217" s="243"/>
      <c r="X217" s="273"/>
      <c r="Y217" s="273"/>
      <c r="Z217" s="273"/>
      <c r="AB217" s="273"/>
      <c r="AC217" s="273"/>
      <c r="AD217" s="273"/>
      <c r="AF217" s="273"/>
      <c r="AG217" s="273"/>
      <c r="AH217" s="273"/>
      <c r="AJ217" s="273"/>
      <c r="AK217" s="273"/>
      <c r="AL217" s="273"/>
    </row>
    <row r="218" spans="1:38">
      <c r="A218" s="9"/>
      <c r="B218" s="260"/>
      <c r="C218" s="293" t="s">
        <v>395</v>
      </c>
      <c r="D218" s="294"/>
      <c r="E218" s="294"/>
      <c r="F218" s="262"/>
      <c r="G218" s="263" t="str">
        <f>IF(OR(H217&gt;VLOOKUP(G217,D!$G$4:$I$16,3,0),AND(G217=G216,H217&lt;=H216),VLOOKUP(G217,D!$G$4:$H$16,2,0)&lt;VLOOKUP(G216,D!$G$4:$H$16,2,0)),"Must correct date!","")</f>
        <v/>
      </c>
      <c r="H218" s="263"/>
      <c r="J218" s="262"/>
      <c r="K218" s="263" t="str">
        <f>IF(AND(K217=" ",K216=" "),"",IF(OR(L217&gt;VLOOKUP(K217,D!$G$4:$I$16,3,0),AND(K217=K216,L217&lt;=L216),VLOOKUP(K217,D!$G$4:$H$16,2,0)&lt;VLOOKUP(K216,D!$G$4:$H$16,2,0)),"Must correct date!",""))</f>
        <v/>
      </c>
      <c r="L218" s="263"/>
      <c r="N218" s="262"/>
      <c r="O218" s="263" t="str">
        <f>IF(AND(O217=" ",O216=" "),"",IF(OR(P217&gt;VLOOKUP(O217,D!$G$4:$I$16,3,0),AND(O217=O216,P217&lt;=P216),VLOOKUP(O217,D!$G$4:$H$16,2,0)&lt;VLOOKUP(O216,D!$G$4:$H$16,2,0)),"Must correct date!",""))</f>
        <v/>
      </c>
      <c r="P218" s="263"/>
      <c r="R218" s="262"/>
      <c r="S218" s="265" t="str">
        <f>IF(AND(S217=" ",S216=" "),"",IF(OR(T217&gt;VLOOKUP(S217,D!$G$4:$I$16,3,0),AND(S217=S216,T217&lt;=T216),VLOOKUP(S217,D!$G$4:$H$16,2,0)&lt;VLOOKUP(S216,D!$G$4:$H$16,2,0)),"Must correct date!",""))</f>
        <v/>
      </c>
      <c r="T218" s="265"/>
      <c r="U218" s="243"/>
      <c r="X218" s="273"/>
      <c r="Y218" s="273"/>
      <c r="Z218" s="273"/>
      <c r="AB218" s="273"/>
      <c r="AC218" s="273"/>
      <c r="AD218" s="273"/>
      <c r="AF218" s="273"/>
      <c r="AG218" s="273"/>
      <c r="AH218" s="273"/>
      <c r="AJ218" s="273"/>
      <c r="AK218" s="273"/>
      <c r="AL218" s="273"/>
    </row>
    <row r="219" spans="1:38">
      <c r="A219" s="9"/>
      <c r="B219" s="260"/>
      <c r="C219" s="293"/>
      <c r="D219" s="294"/>
      <c r="E219" s="294"/>
      <c r="F219" s="267" t="s">
        <v>389</v>
      </c>
      <c r="G219" s="295" t="s">
        <v>437</v>
      </c>
      <c r="H219" s="295"/>
      <c r="I219" s="296"/>
      <c r="J219" s="267" t="str">
        <f t="shared" ref="J219:J228" si="18">$F219</f>
        <v>SUN:</v>
      </c>
      <c r="K219" s="295"/>
      <c r="L219" s="295"/>
      <c r="M219" s="296"/>
      <c r="N219" s="267" t="s">
        <v>389</v>
      </c>
      <c r="O219" s="295"/>
      <c r="P219" s="295"/>
      <c r="Q219" s="296"/>
      <c r="R219" s="267" t="s">
        <v>391</v>
      </c>
      <c r="S219" s="297"/>
      <c r="T219" s="297"/>
      <c r="U219" s="243"/>
      <c r="X219" s="273"/>
      <c r="Y219" s="273"/>
      <c r="Z219" s="273"/>
      <c r="AB219" s="273"/>
      <c r="AC219" s="273"/>
      <c r="AD219" s="273"/>
      <c r="AF219" s="273"/>
      <c r="AG219" s="273"/>
      <c r="AH219" s="273"/>
      <c r="AJ219" s="273"/>
      <c r="AK219" s="273"/>
      <c r="AL219" s="273"/>
    </row>
    <row r="220" spans="1:38">
      <c r="A220" s="9"/>
      <c r="B220" s="260"/>
      <c r="C220" s="293"/>
      <c r="D220" s="294"/>
      <c r="E220" s="294"/>
      <c r="F220" s="267" t="s">
        <v>396</v>
      </c>
      <c r="G220" s="295" t="s">
        <v>437</v>
      </c>
      <c r="H220" s="295"/>
      <c r="J220" s="267" t="str">
        <f t="shared" si="18"/>
        <v>MON:</v>
      </c>
      <c r="K220" s="295"/>
      <c r="L220" s="295"/>
      <c r="M220" s="296"/>
      <c r="N220" s="267" t="s">
        <v>396</v>
      </c>
      <c r="O220" s="295"/>
      <c r="P220" s="295"/>
      <c r="Q220" s="296"/>
      <c r="R220" s="267" t="s">
        <v>397</v>
      </c>
      <c r="S220" s="297"/>
      <c r="T220" s="297"/>
      <c r="U220" s="243"/>
      <c r="X220" s="273"/>
      <c r="Y220" s="273"/>
      <c r="Z220" s="273"/>
      <c r="AB220" s="273"/>
      <c r="AC220" s="273"/>
      <c r="AD220" s="273"/>
      <c r="AF220" s="273"/>
      <c r="AG220" s="273"/>
      <c r="AH220" s="273"/>
      <c r="AJ220" s="273"/>
      <c r="AK220" s="273"/>
      <c r="AL220" s="273"/>
    </row>
    <row r="221" spans="1:38" ht="28.5">
      <c r="A221" s="9"/>
      <c r="B221" s="260"/>
      <c r="C221" s="298" t="s">
        <v>387</v>
      </c>
      <c r="D221" s="294"/>
      <c r="E221" s="294"/>
      <c r="F221" s="267" t="s">
        <v>402</v>
      </c>
      <c r="G221" s="295" t="s">
        <v>437</v>
      </c>
      <c r="H221" s="295"/>
      <c r="J221" s="267" t="str">
        <f t="shared" si="18"/>
        <v>TUE:</v>
      </c>
      <c r="K221" s="295"/>
      <c r="L221" s="295"/>
      <c r="M221" s="296"/>
      <c r="N221" s="267" t="s">
        <v>402</v>
      </c>
      <c r="O221" s="295"/>
      <c r="P221" s="295"/>
      <c r="Q221" s="296"/>
      <c r="R221" s="267" t="s">
        <v>403</v>
      </c>
      <c r="S221" s="297"/>
      <c r="T221" s="297"/>
      <c r="U221" s="243"/>
      <c r="X221" s="273"/>
      <c r="Y221" s="273"/>
      <c r="Z221" s="273"/>
      <c r="AB221" s="273"/>
      <c r="AC221" s="273"/>
      <c r="AD221" s="273"/>
      <c r="AF221" s="273"/>
      <c r="AG221" s="273"/>
      <c r="AH221" s="273"/>
      <c r="AJ221" s="273"/>
      <c r="AK221" s="273"/>
      <c r="AL221" s="273"/>
    </row>
    <row r="222" spans="1:38">
      <c r="A222" s="9"/>
      <c r="B222" s="260"/>
      <c r="C222" s="298"/>
      <c r="D222" s="294"/>
      <c r="E222" s="294"/>
      <c r="F222" s="267" t="s">
        <v>407</v>
      </c>
      <c r="G222" s="295" t="s">
        <v>437</v>
      </c>
      <c r="H222" s="295"/>
      <c r="J222" s="267" t="str">
        <f t="shared" si="18"/>
        <v>WED:</v>
      </c>
      <c r="K222" s="295"/>
      <c r="L222" s="295"/>
      <c r="M222" s="296"/>
      <c r="N222" s="267" t="s">
        <v>407</v>
      </c>
      <c r="O222" s="295"/>
      <c r="P222" s="295"/>
      <c r="Q222" s="296"/>
      <c r="R222" s="267" t="s">
        <v>408</v>
      </c>
      <c r="S222" s="297"/>
      <c r="T222" s="297"/>
      <c r="U222" s="243"/>
      <c r="X222" s="273"/>
      <c r="Y222" s="273"/>
      <c r="Z222" s="273"/>
      <c r="AB222" s="273"/>
      <c r="AC222" s="273"/>
      <c r="AD222" s="273"/>
      <c r="AF222" s="273"/>
      <c r="AG222" s="273"/>
      <c r="AH222" s="273"/>
      <c r="AJ222" s="273"/>
      <c r="AK222" s="273"/>
      <c r="AL222" s="273"/>
    </row>
    <row r="223" spans="1:38" ht="24">
      <c r="A223" s="9"/>
      <c r="B223" s="260"/>
      <c r="C223" s="274" t="s">
        <v>410</v>
      </c>
      <c r="D223" s="294"/>
      <c r="E223" s="294"/>
      <c r="F223" s="267" t="s">
        <v>411</v>
      </c>
      <c r="G223" s="295" t="s">
        <v>437</v>
      </c>
      <c r="H223" s="295"/>
      <c r="J223" s="267" t="str">
        <f t="shared" si="18"/>
        <v>THU:</v>
      </c>
      <c r="K223" s="295"/>
      <c r="L223" s="295"/>
      <c r="M223" s="296"/>
      <c r="N223" s="267" t="s">
        <v>411</v>
      </c>
      <c r="O223" s="295"/>
      <c r="P223" s="295"/>
      <c r="Q223" s="296"/>
      <c r="R223" s="267" t="s">
        <v>412</v>
      </c>
      <c r="S223" s="297"/>
      <c r="T223" s="297"/>
      <c r="U223" s="243"/>
      <c r="X223" s="273"/>
      <c r="Y223" s="273"/>
      <c r="Z223" s="273"/>
      <c r="AB223" s="273"/>
      <c r="AC223" s="273"/>
      <c r="AD223" s="273"/>
      <c r="AF223" s="273"/>
      <c r="AG223" s="273"/>
      <c r="AH223" s="273"/>
      <c r="AJ223" s="273"/>
      <c r="AK223" s="273"/>
      <c r="AL223" s="273"/>
    </row>
    <row r="224" spans="1:38">
      <c r="A224" s="9"/>
      <c r="B224" s="260"/>
      <c r="C224" s="274"/>
      <c r="D224" s="294"/>
      <c r="E224" s="294"/>
      <c r="F224" s="267" t="s">
        <v>414</v>
      </c>
      <c r="G224" s="295" t="s">
        <v>437</v>
      </c>
      <c r="H224" s="295"/>
      <c r="J224" s="267" t="str">
        <f t="shared" si="18"/>
        <v>FRI:</v>
      </c>
      <c r="K224" s="295"/>
      <c r="L224" s="295"/>
      <c r="M224" s="296"/>
      <c r="N224" s="267" t="s">
        <v>414</v>
      </c>
      <c r="O224" s="295"/>
      <c r="P224" s="295"/>
      <c r="Q224" s="296"/>
      <c r="R224" s="267" t="s">
        <v>415</v>
      </c>
      <c r="S224" s="297"/>
      <c r="T224" s="297"/>
      <c r="U224" s="243"/>
      <c r="X224" s="273"/>
      <c r="Y224" s="273"/>
      <c r="Z224" s="273"/>
      <c r="AB224" s="273"/>
      <c r="AC224" s="273"/>
      <c r="AD224" s="273"/>
      <c r="AF224" s="273"/>
      <c r="AG224" s="273"/>
      <c r="AH224" s="273"/>
      <c r="AJ224" s="273"/>
      <c r="AK224" s="273"/>
      <c r="AL224" s="273"/>
    </row>
    <row r="225" spans="1:38">
      <c r="A225" s="9"/>
      <c r="B225" s="260"/>
      <c r="C225" s="238" t="str">
        <f>IF(AND(C221="Other",OR(D225=" ",D225="")),"Select Type →",IF(AND(NOT(C221="Other"),AND(NOT(D225=" "),NOT(D225=""))),"Deselect Type→",VLOOKUP(C221,$BL$6:$BM$19,2,0)))</f>
        <v>On/Off</v>
      </c>
      <c r="D225" s="299"/>
      <c r="E225" s="299"/>
      <c r="F225" s="267" t="s">
        <v>418</v>
      </c>
      <c r="G225" s="295" t="s">
        <v>437</v>
      </c>
      <c r="H225" s="295"/>
      <c r="J225" s="267" t="str">
        <f t="shared" si="18"/>
        <v>SAT:</v>
      </c>
      <c r="K225" s="295"/>
      <c r="L225" s="295"/>
      <c r="M225" s="296"/>
      <c r="N225" s="267" t="s">
        <v>418</v>
      </c>
      <c r="O225" s="295"/>
      <c r="P225" s="295"/>
      <c r="Q225" s="296"/>
      <c r="R225" s="267" t="s">
        <v>419</v>
      </c>
      <c r="S225" s="297"/>
      <c r="T225" s="297"/>
      <c r="U225" s="243"/>
      <c r="X225" s="273"/>
      <c r="Y225" s="273"/>
      <c r="Z225" s="273"/>
      <c r="AB225" s="273"/>
      <c r="AC225" s="273"/>
      <c r="AD225" s="273"/>
      <c r="AF225" s="273"/>
      <c r="AG225" s="273"/>
      <c r="AH225" s="273"/>
      <c r="AJ225" s="273"/>
      <c r="AK225" s="273"/>
      <c r="AL225" s="273"/>
    </row>
    <row r="226" spans="1:38">
      <c r="A226" s="9"/>
      <c r="B226" s="260"/>
      <c r="C226" s="238"/>
      <c r="D226" s="299"/>
      <c r="E226" s="299"/>
      <c r="F226" s="267" t="s">
        <v>421</v>
      </c>
      <c r="G226" s="295" t="s">
        <v>437</v>
      </c>
      <c r="H226" s="295"/>
      <c r="J226" s="267" t="str">
        <f t="shared" si="18"/>
        <v>HOL:</v>
      </c>
      <c r="K226" s="295"/>
      <c r="L226" s="295"/>
      <c r="M226" s="296"/>
      <c r="N226" s="267" t="s">
        <v>421</v>
      </c>
      <c r="O226" s="295"/>
      <c r="P226" s="295"/>
      <c r="Q226" s="296"/>
      <c r="R226" s="267" t="s">
        <v>391</v>
      </c>
      <c r="S226" s="297"/>
      <c r="T226" s="297"/>
      <c r="U226" s="243"/>
      <c r="X226" s="273"/>
      <c r="Y226" s="273"/>
      <c r="Z226" s="273"/>
      <c r="AB226" s="273"/>
      <c r="AC226" s="273"/>
      <c r="AD226" s="273"/>
      <c r="AF226" s="273"/>
      <c r="AG226" s="273"/>
      <c r="AH226" s="273"/>
      <c r="AJ226" s="273"/>
      <c r="AK226" s="273"/>
      <c r="AL226" s="273"/>
    </row>
    <row r="227" spans="1:38">
      <c r="A227" s="9"/>
      <c r="B227" s="260"/>
      <c r="C227" s="300"/>
      <c r="D227" s="300"/>
      <c r="E227" s="300"/>
      <c r="F227" s="267" t="s">
        <v>424</v>
      </c>
      <c r="G227" s="295" t="s">
        <v>438</v>
      </c>
      <c r="H227" s="295"/>
      <c r="J227" s="267" t="str">
        <f t="shared" si="18"/>
        <v>HDD:</v>
      </c>
      <c r="K227" s="295"/>
      <c r="L227" s="295"/>
      <c r="M227" s="296"/>
      <c r="N227" s="267" t="s">
        <v>424</v>
      </c>
      <c r="O227" s="295"/>
      <c r="P227" s="295"/>
      <c r="Q227" s="296"/>
      <c r="R227" s="267" t="s">
        <v>426</v>
      </c>
      <c r="S227" s="297"/>
      <c r="T227" s="297"/>
      <c r="U227" s="243"/>
    </row>
    <row r="228" spans="1:38">
      <c r="A228" s="9"/>
      <c r="B228" s="260"/>
      <c r="C228" s="300"/>
      <c r="D228" s="300"/>
      <c r="E228" s="300"/>
      <c r="F228" s="267" t="s">
        <v>429</v>
      </c>
      <c r="G228" s="295" t="s">
        <v>439</v>
      </c>
      <c r="H228" s="295"/>
      <c r="I228" s="296"/>
      <c r="J228" s="267" t="str">
        <f t="shared" si="18"/>
        <v>CDD:</v>
      </c>
      <c r="K228" s="295"/>
      <c r="L228" s="295"/>
      <c r="M228" s="296"/>
      <c r="N228" s="267" t="s">
        <v>429</v>
      </c>
      <c r="O228" s="295"/>
      <c r="P228" s="295"/>
      <c r="Q228" s="296"/>
      <c r="R228" s="267" t="s">
        <v>431</v>
      </c>
      <c r="S228" s="297"/>
      <c r="T228" s="297"/>
      <c r="U228" s="243"/>
    </row>
    <row r="229" spans="1:38">
      <c r="A229" s="9"/>
      <c r="B229" s="276"/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43"/>
    </row>
    <row r="230" spans="1:38" ht="28.5">
      <c r="A230" s="9">
        <f>A216+1</f>
        <v>17</v>
      </c>
      <c r="B230" s="282" t="s">
        <v>376</v>
      </c>
      <c r="C230" s="287" t="s">
        <v>435</v>
      </c>
      <c r="D230" s="287"/>
      <c r="E230" s="287"/>
      <c r="F230" s="249" t="s">
        <v>378</v>
      </c>
      <c r="G230" s="288" t="s">
        <v>379</v>
      </c>
      <c r="H230" s="289">
        <v>1</v>
      </c>
      <c r="I230" s="289"/>
      <c r="J230" s="249" t="s">
        <v>378</v>
      </c>
      <c r="K230" s="290" t="str">
        <f>IF(AND(G231="December",H231=31)," ",IF(VLOOKUP(G231,D!$G$5:$I$16,3,0)=H231,LOOKUP(VLOOKUP(G231,D!$G$4:$H$16,2,0)+1,D!$H$4:$H$16,D!$G$4:$G$16),G231))</f>
        <v>January</v>
      </c>
      <c r="L230" s="289">
        <f>IF(K230=" "," ",IF(K230=G231,H231+1,1))</f>
        <v>29</v>
      </c>
      <c r="M230" s="289"/>
      <c r="N230" s="249" t="s">
        <v>378</v>
      </c>
      <c r="O230" s="288" t="str">
        <f>IF(OR(K231=" ",AND(K231="December",L231=31))," ",IF(VLOOKUP(K231,D!$G$5:$I$16,3,0)=L231,LOOKUP(VLOOKUP(K231,D!$G$4:$H$16,2,0)+1,D!$H$4:$H$16,D!$G$4:$G$16),K231))</f>
        <v>June</v>
      </c>
      <c r="P230" s="289">
        <f>IF(O230=" "," ",IF(O230=K231,L231+1,1))</f>
        <v>9</v>
      </c>
      <c r="Q230" s="289"/>
      <c r="R230" s="249" t="s">
        <v>378</v>
      </c>
      <c r="S230" s="288" t="str">
        <f>IF(OR(O231=" ",AND(O231="December",P231=31))," ",IF(VLOOKUP(O231,D!$G$5:$I$16,3,0)=P231,LOOKUP(VLOOKUP(O231,D!$G$4:$H$16,2,0)+1,D!$H$4:$H$16,D!$G$4:$G$16),O231))</f>
        <v>September</v>
      </c>
      <c r="T230" s="289">
        <f>IF(S230=" "," ",IF(S230=O231,P231+1,1))</f>
        <v>9</v>
      </c>
      <c r="U230" s="243"/>
    </row>
    <row r="231" spans="1:38" ht="28.5">
      <c r="A231" s="9"/>
      <c r="B231" s="282"/>
      <c r="C231" s="287"/>
      <c r="D231" s="287"/>
      <c r="E231" s="287"/>
      <c r="F231" s="255" t="s">
        <v>380</v>
      </c>
      <c r="G231" s="291" t="s">
        <v>379</v>
      </c>
      <c r="H231" s="292">
        <v>28</v>
      </c>
      <c r="I231" s="292"/>
      <c r="J231" s="255" t="s">
        <v>380</v>
      </c>
      <c r="K231" s="291" t="s">
        <v>383</v>
      </c>
      <c r="L231" s="292">
        <v>8</v>
      </c>
      <c r="M231" s="292"/>
      <c r="N231" s="255" t="s">
        <v>380</v>
      </c>
      <c r="O231" s="291" t="s">
        <v>436</v>
      </c>
      <c r="P231" s="292">
        <v>8</v>
      </c>
      <c r="Q231" s="292"/>
      <c r="R231" s="255" t="s">
        <v>380</v>
      </c>
      <c r="S231" s="291" t="s">
        <v>384</v>
      </c>
      <c r="T231" s="292">
        <v>31</v>
      </c>
      <c r="U231" s="243"/>
      <c r="X231" s="273"/>
      <c r="Y231" s="273"/>
      <c r="Z231" s="273"/>
      <c r="AB231" s="273"/>
      <c r="AC231" s="273"/>
      <c r="AD231" s="273"/>
      <c r="AF231" s="273"/>
      <c r="AG231" s="273"/>
      <c r="AH231" s="273"/>
      <c r="AJ231" s="273"/>
      <c r="AK231" s="273"/>
      <c r="AL231" s="273"/>
    </row>
    <row r="232" spans="1:38">
      <c r="A232" s="9"/>
      <c r="B232" s="260"/>
      <c r="C232" s="293" t="s">
        <v>395</v>
      </c>
      <c r="D232" s="294"/>
      <c r="E232" s="294"/>
      <c r="F232" s="262"/>
      <c r="G232" s="263" t="str">
        <f>IF(OR(H231&gt;VLOOKUP(G231,D!$G$4:$I$16,3,0),AND(G231=G230,H231&lt;=H230),VLOOKUP(G231,D!$G$4:$H$16,2,0)&lt;VLOOKUP(G230,D!$G$4:$H$16,2,0)),"Must correct date!","")</f>
        <v/>
      </c>
      <c r="H232" s="263"/>
      <c r="J232" s="262"/>
      <c r="K232" s="263" t="str">
        <f>IF(AND(K231=" ",K230=" "),"",IF(OR(L231&gt;VLOOKUP(K231,D!$G$4:$I$16,3,0),AND(K231=K230,L231&lt;=L230),VLOOKUP(K231,D!$G$4:$H$16,2,0)&lt;VLOOKUP(K230,D!$G$4:$H$16,2,0)),"Must correct date!",""))</f>
        <v/>
      </c>
      <c r="L232" s="263"/>
      <c r="N232" s="262"/>
      <c r="O232" s="263" t="str">
        <f>IF(AND(O231=" ",O230=" "),"",IF(OR(P231&gt;VLOOKUP(O231,D!$G$4:$I$16,3,0),AND(O231=O230,P231&lt;=P230),VLOOKUP(O231,D!$G$4:$H$16,2,0)&lt;VLOOKUP(O230,D!$G$4:$H$16,2,0)),"Must correct date!",""))</f>
        <v/>
      </c>
      <c r="P232" s="263"/>
      <c r="R232" s="262"/>
      <c r="S232" s="265" t="str">
        <f>IF(AND(S231=" ",S230=" "),"",IF(OR(T231&gt;VLOOKUP(S231,D!$G$4:$I$16,3,0),AND(S231=S230,T231&lt;=T230),VLOOKUP(S231,D!$G$4:$H$16,2,0)&lt;VLOOKUP(S230,D!$G$4:$H$16,2,0)),"Must correct date!",""))</f>
        <v/>
      </c>
      <c r="T232" s="265"/>
      <c r="U232" s="243"/>
      <c r="X232" s="273"/>
      <c r="Y232" s="273"/>
      <c r="Z232" s="273"/>
      <c r="AB232" s="273"/>
      <c r="AC232" s="273"/>
      <c r="AD232" s="273"/>
      <c r="AF232" s="273"/>
      <c r="AG232" s="273"/>
      <c r="AH232" s="273"/>
      <c r="AJ232" s="273"/>
      <c r="AK232" s="273"/>
      <c r="AL232" s="273"/>
    </row>
    <row r="233" spans="1:38">
      <c r="A233" s="9"/>
      <c r="B233" s="260"/>
      <c r="C233" s="293"/>
      <c r="D233" s="294"/>
      <c r="E233" s="294"/>
      <c r="F233" s="267" t="s">
        <v>389</v>
      </c>
      <c r="G233" s="295" t="s">
        <v>437</v>
      </c>
      <c r="H233" s="295"/>
      <c r="I233" s="296"/>
      <c r="J233" s="267" t="str">
        <f t="shared" ref="J233:J242" si="19">$F233</f>
        <v>SUN:</v>
      </c>
      <c r="K233" s="295"/>
      <c r="L233" s="295"/>
      <c r="M233" s="296"/>
      <c r="N233" s="267" t="s">
        <v>389</v>
      </c>
      <c r="O233" s="295"/>
      <c r="P233" s="295"/>
      <c r="Q233" s="296"/>
      <c r="R233" s="267" t="s">
        <v>391</v>
      </c>
      <c r="S233" s="297"/>
      <c r="T233" s="297"/>
      <c r="U233" s="243"/>
      <c r="X233" s="273"/>
      <c r="Y233" s="273"/>
      <c r="Z233" s="273"/>
      <c r="AB233" s="273"/>
      <c r="AC233" s="273"/>
      <c r="AD233" s="273"/>
      <c r="AF233" s="273"/>
      <c r="AG233" s="273"/>
      <c r="AH233" s="273"/>
      <c r="AJ233" s="273"/>
      <c r="AK233" s="273"/>
      <c r="AL233" s="273"/>
    </row>
    <row r="234" spans="1:38">
      <c r="A234" s="9"/>
      <c r="B234" s="260"/>
      <c r="C234" s="293"/>
      <c r="D234" s="294"/>
      <c r="E234" s="294"/>
      <c r="F234" s="267" t="s">
        <v>396</v>
      </c>
      <c r="G234" s="295" t="s">
        <v>437</v>
      </c>
      <c r="H234" s="295"/>
      <c r="J234" s="267" t="str">
        <f t="shared" si="19"/>
        <v>MON:</v>
      </c>
      <c r="K234" s="295"/>
      <c r="L234" s="295"/>
      <c r="M234" s="296"/>
      <c r="N234" s="267" t="s">
        <v>396</v>
      </c>
      <c r="O234" s="295"/>
      <c r="P234" s="295"/>
      <c r="Q234" s="296"/>
      <c r="R234" s="267" t="s">
        <v>397</v>
      </c>
      <c r="S234" s="297"/>
      <c r="T234" s="297"/>
      <c r="U234" s="243"/>
      <c r="X234" s="273"/>
      <c r="Y234" s="273"/>
      <c r="Z234" s="273"/>
      <c r="AB234" s="273"/>
      <c r="AC234" s="273"/>
      <c r="AD234" s="273"/>
      <c r="AF234" s="273"/>
      <c r="AG234" s="273"/>
      <c r="AH234" s="273"/>
      <c r="AJ234" s="273"/>
      <c r="AK234" s="273"/>
      <c r="AL234" s="273"/>
    </row>
    <row r="235" spans="1:38" ht="28.5">
      <c r="A235" s="9"/>
      <c r="B235" s="260"/>
      <c r="C235" s="298" t="s">
        <v>387</v>
      </c>
      <c r="D235" s="294"/>
      <c r="E235" s="294"/>
      <c r="F235" s="267" t="s">
        <v>402</v>
      </c>
      <c r="G235" s="295" t="s">
        <v>437</v>
      </c>
      <c r="H235" s="295"/>
      <c r="J235" s="267" t="str">
        <f t="shared" si="19"/>
        <v>TUE:</v>
      </c>
      <c r="K235" s="295"/>
      <c r="L235" s="295"/>
      <c r="M235" s="296"/>
      <c r="N235" s="267" t="s">
        <v>402</v>
      </c>
      <c r="O235" s="295"/>
      <c r="P235" s="295"/>
      <c r="Q235" s="296"/>
      <c r="R235" s="267" t="s">
        <v>403</v>
      </c>
      <c r="S235" s="297"/>
      <c r="T235" s="297"/>
      <c r="U235" s="243"/>
      <c r="X235" s="273"/>
      <c r="Y235" s="273"/>
      <c r="Z235" s="273"/>
      <c r="AB235" s="273"/>
      <c r="AC235" s="273"/>
      <c r="AD235" s="273"/>
      <c r="AF235" s="273"/>
      <c r="AG235" s="273"/>
      <c r="AH235" s="273"/>
      <c r="AJ235" s="273"/>
      <c r="AK235" s="273"/>
      <c r="AL235" s="273"/>
    </row>
    <row r="236" spans="1:38">
      <c r="A236" s="9"/>
      <c r="B236" s="260"/>
      <c r="C236" s="298"/>
      <c r="D236" s="294"/>
      <c r="E236" s="294"/>
      <c r="F236" s="267" t="s">
        <v>407</v>
      </c>
      <c r="G236" s="295" t="s">
        <v>437</v>
      </c>
      <c r="H236" s="295"/>
      <c r="J236" s="267" t="str">
        <f t="shared" si="19"/>
        <v>WED:</v>
      </c>
      <c r="K236" s="295"/>
      <c r="L236" s="295"/>
      <c r="M236" s="296"/>
      <c r="N236" s="267" t="s">
        <v>407</v>
      </c>
      <c r="O236" s="295"/>
      <c r="P236" s="295"/>
      <c r="Q236" s="296"/>
      <c r="R236" s="267" t="s">
        <v>408</v>
      </c>
      <c r="S236" s="297"/>
      <c r="T236" s="297"/>
      <c r="U236" s="243"/>
      <c r="X236" s="273"/>
      <c r="Y236" s="273"/>
      <c r="Z236" s="273"/>
      <c r="AB236" s="273"/>
      <c r="AC236" s="273"/>
      <c r="AD236" s="273"/>
      <c r="AF236" s="273"/>
      <c r="AG236" s="273"/>
      <c r="AH236" s="273"/>
      <c r="AJ236" s="273"/>
      <c r="AK236" s="273"/>
      <c r="AL236" s="273"/>
    </row>
    <row r="237" spans="1:38" ht="24">
      <c r="A237" s="9"/>
      <c r="B237" s="260"/>
      <c r="C237" s="274" t="s">
        <v>410</v>
      </c>
      <c r="D237" s="294"/>
      <c r="E237" s="294"/>
      <c r="F237" s="267" t="s">
        <v>411</v>
      </c>
      <c r="G237" s="295" t="s">
        <v>437</v>
      </c>
      <c r="H237" s="295"/>
      <c r="J237" s="267" t="str">
        <f t="shared" si="19"/>
        <v>THU:</v>
      </c>
      <c r="K237" s="295"/>
      <c r="L237" s="295"/>
      <c r="M237" s="296"/>
      <c r="N237" s="267" t="s">
        <v>411</v>
      </c>
      <c r="O237" s="295"/>
      <c r="P237" s="295"/>
      <c r="Q237" s="296"/>
      <c r="R237" s="267" t="s">
        <v>412</v>
      </c>
      <c r="S237" s="297"/>
      <c r="T237" s="297"/>
      <c r="U237" s="243"/>
      <c r="X237" s="273"/>
      <c r="Y237" s="273"/>
      <c r="Z237" s="273"/>
      <c r="AB237" s="273"/>
      <c r="AC237" s="273"/>
      <c r="AD237" s="273"/>
      <c r="AF237" s="273"/>
      <c r="AG237" s="273"/>
      <c r="AH237" s="273"/>
      <c r="AJ237" s="273"/>
      <c r="AK237" s="273"/>
      <c r="AL237" s="273"/>
    </row>
    <row r="238" spans="1:38">
      <c r="A238" s="9"/>
      <c r="B238" s="260"/>
      <c r="C238" s="274"/>
      <c r="D238" s="294"/>
      <c r="E238" s="294"/>
      <c r="F238" s="267" t="s">
        <v>414</v>
      </c>
      <c r="G238" s="295" t="s">
        <v>437</v>
      </c>
      <c r="H238" s="295"/>
      <c r="J238" s="267" t="str">
        <f t="shared" si="19"/>
        <v>FRI:</v>
      </c>
      <c r="K238" s="295"/>
      <c r="L238" s="295"/>
      <c r="M238" s="296"/>
      <c r="N238" s="267" t="s">
        <v>414</v>
      </c>
      <c r="O238" s="295"/>
      <c r="P238" s="295"/>
      <c r="Q238" s="296"/>
      <c r="R238" s="267" t="s">
        <v>415</v>
      </c>
      <c r="S238" s="297"/>
      <c r="T238" s="297"/>
      <c r="U238" s="243"/>
      <c r="X238" s="273"/>
      <c r="Y238" s="273"/>
      <c r="Z238" s="273"/>
      <c r="AB238" s="273"/>
      <c r="AC238" s="273"/>
      <c r="AD238" s="273"/>
      <c r="AF238" s="273"/>
      <c r="AG238" s="273"/>
      <c r="AH238" s="273"/>
      <c r="AJ238" s="273"/>
      <c r="AK238" s="273"/>
      <c r="AL238" s="273"/>
    </row>
    <row r="239" spans="1:38">
      <c r="A239" s="9"/>
      <c r="B239" s="260"/>
      <c r="C239" s="238" t="str">
        <f>IF(AND(C235="Other",OR(D239=" ",D239="")),"Select Type →",IF(AND(NOT(C235="Other"),AND(NOT(D239=" "),NOT(D239=""))),"Deselect Type→",VLOOKUP(C235,$BL$6:$BM$19,2,0)))</f>
        <v>On/Off</v>
      </c>
      <c r="D239" s="299"/>
      <c r="E239" s="299"/>
      <c r="F239" s="267" t="s">
        <v>418</v>
      </c>
      <c r="G239" s="295" t="s">
        <v>437</v>
      </c>
      <c r="H239" s="295"/>
      <c r="J239" s="267" t="str">
        <f t="shared" si="19"/>
        <v>SAT:</v>
      </c>
      <c r="K239" s="295"/>
      <c r="L239" s="295"/>
      <c r="M239" s="296"/>
      <c r="N239" s="267" t="s">
        <v>418</v>
      </c>
      <c r="O239" s="295"/>
      <c r="P239" s="295"/>
      <c r="Q239" s="296"/>
      <c r="R239" s="267" t="s">
        <v>419</v>
      </c>
      <c r="S239" s="297"/>
      <c r="T239" s="297"/>
      <c r="U239" s="243"/>
      <c r="X239" s="273"/>
      <c r="Y239" s="273"/>
      <c r="Z239" s="273"/>
      <c r="AB239" s="273"/>
      <c r="AC239" s="273"/>
      <c r="AD239" s="273"/>
      <c r="AF239" s="273"/>
      <c r="AG239" s="273"/>
      <c r="AH239" s="273"/>
      <c r="AJ239" s="273"/>
      <c r="AK239" s="273"/>
      <c r="AL239" s="273"/>
    </row>
    <row r="240" spans="1:38">
      <c r="A240" s="9"/>
      <c r="B240" s="260"/>
      <c r="C240" s="238"/>
      <c r="D240" s="299"/>
      <c r="E240" s="299"/>
      <c r="F240" s="267" t="s">
        <v>421</v>
      </c>
      <c r="G240" s="295" t="s">
        <v>437</v>
      </c>
      <c r="H240" s="295"/>
      <c r="J240" s="267" t="str">
        <f t="shared" si="19"/>
        <v>HOL:</v>
      </c>
      <c r="K240" s="295"/>
      <c r="L240" s="295"/>
      <c r="M240" s="296"/>
      <c r="N240" s="267" t="s">
        <v>421</v>
      </c>
      <c r="O240" s="295"/>
      <c r="P240" s="295"/>
      <c r="Q240" s="296"/>
      <c r="R240" s="267" t="s">
        <v>391</v>
      </c>
      <c r="S240" s="297"/>
      <c r="T240" s="297"/>
      <c r="U240" s="243"/>
      <c r="X240" s="273"/>
      <c r="Y240" s="273"/>
      <c r="Z240" s="273"/>
      <c r="AB240" s="273"/>
      <c r="AC240" s="273"/>
      <c r="AD240" s="273"/>
      <c r="AF240" s="273"/>
      <c r="AG240" s="273"/>
      <c r="AH240" s="273"/>
      <c r="AJ240" s="273"/>
      <c r="AK240" s="273"/>
      <c r="AL240" s="273"/>
    </row>
    <row r="241" spans="1:38">
      <c r="A241" s="9"/>
      <c r="B241" s="260"/>
      <c r="C241" s="300"/>
      <c r="D241" s="300"/>
      <c r="E241" s="300"/>
      <c r="F241" s="267" t="s">
        <v>424</v>
      </c>
      <c r="G241" s="295" t="s">
        <v>438</v>
      </c>
      <c r="H241" s="295"/>
      <c r="J241" s="267" t="str">
        <f t="shared" si="19"/>
        <v>HDD:</v>
      </c>
      <c r="K241" s="295"/>
      <c r="L241" s="295"/>
      <c r="M241" s="296"/>
      <c r="N241" s="267" t="s">
        <v>424</v>
      </c>
      <c r="O241" s="295"/>
      <c r="P241" s="295"/>
      <c r="Q241" s="296"/>
      <c r="R241" s="267" t="s">
        <v>426</v>
      </c>
      <c r="S241" s="297"/>
      <c r="T241" s="297"/>
      <c r="U241" s="243"/>
    </row>
    <row r="242" spans="1:38">
      <c r="A242" s="9"/>
      <c r="B242" s="260"/>
      <c r="C242" s="300"/>
      <c r="D242" s="300"/>
      <c r="E242" s="300"/>
      <c r="F242" s="267" t="s">
        <v>429</v>
      </c>
      <c r="G242" s="295" t="s">
        <v>439</v>
      </c>
      <c r="H242" s="295"/>
      <c r="I242" s="296"/>
      <c r="J242" s="267" t="str">
        <f t="shared" si="19"/>
        <v>CDD:</v>
      </c>
      <c r="K242" s="295"/>
      <c r="L242" s="295"/>
      <c r="M242" s="296"/>
      <c r="N242" s="267" t="s">
        <v>429</v>
      </c>
      <c r="O242" s="295"/>
      <c r="P242" s="295"/>
      <c r="Q242" s="296"/>
      <c r="R242" s="267" t="s">
        <v>431</v>
      </c>
      <c r="S242" s="297"/>
      <c r="T242" s="297"/>
      <c r="U242" s="243"/>
    </row>
    <row r="243" spans="1:38">
      <c r="A243" s="9"/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43"/>
    </row>
    <row r="244" spans="1:38" ht="28.5">
      <c r="A244" s="9">
        <f>A230+1</f>
        <v>18</v>
      </c>
      <c r="B244" s="282" t="s">
        <v>376</v>
      </c>
      <c r="C244" s="287" t="s">
        <v>435</v>
      </c>
      <c r="D244" s="287"/>
      <c r="E244" s="287"/>
      <c r="F244" s="249" t="s">
        <v>378</v>
      </c>
      <c r="G244" s="288" t="s">
        <v>379</v>
      </c>
      <c r="H244" s="289">
        <v>1</v>
      </c>
      <c r="I244" s="289"/>
      <c r="J244" s="249" t="s">
        <v>378</v>
      </c>
      <c r="K244" s="290" t="str">
        <f>IF(AND(G245="December",H245=31)," ",IF(VLOOKUP(G245,D!$G$5:$I$16,3,0)=H245,LOOKUP(VLOOKUP(G245,D!$G$4:$H$16,2,0)+1,D!$H$4:$H$16,D!$G$4:$G$16),G245))</f>
        <v>January</v>
      </c>
      <c r="L244" s="289">
        <f>IF(K244=" "," ",IF(K244=G245,H245+1,1))</f>
        <v>29</v>
      </c>
      <c r="M244" s="289"/>
      <c r="N244" s="249" t="s">
        <v>378</v>
      </c>
      <c r="O244" s="288" t="str">
        <f>IF(OR(K245=" ",AND(K245="December",L245=31))," ",IF(VLOOKUP(K245,D!$G$5:$I$16,3,0)=L245,LOOKUP(VLOOKUP(K245,D!$G$4:$H$16,2,0)+1,D!$H$4:$H$16,D!$G$4:$G$16),K245))</f>
        <v>June</v>
      </c>
      <c r="P244" s="289">
        <f>IF(O244=" "," ",IF(O244=K245,L245+1,1))</f>
        <v>9</v>
      </c>
      <c r="Q244" s="289"/>
      <c r="R244" s="249" t="s">
        <v>378</v>
      </c>
      <c r="S244" s="288" t="str">
        <f>IF(OR(O245=" ",AND(O245="December",P245=31))," ",IF(VLOOKUP(O245,D!$G$5:$I$16,3,0)=P245,LOOKUP(VLOOKUP(O245,D!$G$4:$H$16,2,0)+1,D!$H$4:$H$16,D!$G$4:$G$16),O245))</f>
        <v>September</v>
      </c>
      <c r="T244" s="289">
        <f>IF(S244=" "," ",IF(S244=O245,P245+1,1))</f>
        <v>9</v>
      </c>
      <c r="U244" s="243"/>
    </row>
    <row r="245" spans="1:38" ht="28.5">
      <c r="A245" s="9"/>
      <c r="B245" s="282"/>
      <c r="C245" s="287"/>
      <c r="D245" s="287"/>
      <c r="E245" s="287"/>
      <c r="F245" s="255" t="s">
        <v>380</v>
      </c>
      <c r="G245" s="291" t="s">
        <v>379</v>
      </c>
      <c r="H245" s="292">
        <v>28</v>
      </c>
      <c r="I245" s="292"/>
      <c r="J245" s="255" t="s">
        <v>380</v>
      </c>
      <c r="K245" s="291" t="s">
        <v>383</v>
      </c>
      <c r="L245" s="292">
        <v>8</v>
      </c>
      <c r="M245" s="292"/>
      <c r="N245" s="255" t="s">
        <v>380</v>
      </c>
      <c r="O245" s="291" t="s">
        <v>436</v>
      </c>
      <c r="P245" s="292">
        <v>8</v>
      </c>
      <c r="Q245" s="292"/>
      <c r="R245" s="255" t="s">
        <v>380</v>
      </c>
      <c r="S245" s="291" t="s">
        <v>384</v>
      </c>
      <c r="T245" s="292">
        <v>31</v>
      </c>
      <c r="U245" s="243"/>
      <c r="X245" s="273"/>
      <c r="Y245" s="273"/>
      <c r="Z245" s="273"/>
      <c r="AB245" s="273"/>
      <c r="AC245" s="273"/>
      <c r="AD245" s="273"/>
      <c r="AF245" s="273"/>
      <c r="AG245" s="273"/>
      <c r="AH245" s="273"/>
      <c r="AJ245" s="273"/>
      <c r="AK245" s="273"/>
      <c r="AL245" s="273"/>
    </row>
    <row r="246" spans="1:38">
      <c r="A246" s="9"/>
      <c r="B246" s="260"/>
      <c r="C246" s="293" t="s">
        <v>395</v>
      </c>
      <c r="D246" s="294"/>
      <c r="E246" s="294"/>
      <c r="F246" s="262"/>
      <c r="G246" s="263" t="str">
        <f>IF(OR(H245&gt;VLOOKUP(G245,D!$G$4:$I$16,3,0),AND(G245=G244,H245&lt;=H244),VLOOKUP(G245,D!$G$4:$H$16,2,0)&lt;VLOOKUP(G244,D!$G$4:$H$16,2,0)),"Must correct date!","")</f>
        <v/>
      </c>
      <c r="H246" s="263"/>
      <c r="J246" s="262"/>
      <c r="K246" s="263" t="str">
        <f>IF(AND(K245=" ",K244=" "),"",IF(OR(L245&gt;VLOOKUP(K245,D!$G$4:$I$16,3,0),AND(K245=K244,L245&lt;=L244),VLOOKUP(K245,D!$G$4:$H$16,2,0)&lt;VLOOKUP(K244,D!$G$4:$H$16,2,0)),"Must correct date!",""))</f>
        <v/>
      </c>
      <c r="L246" s="263"/>
      <c r="N246" s="262"/>
      <c r="O246" s="263" t="str">
        <f>IF(AND(O245=" ",O244=" "),"",IF(OR(P245&gt;VLOOKUP(O245,D!$G$4:$I$16,3,0),AND(O245=O244,P245&lt;=P244),VLOOKUP(O245,D!$G$4:$H$16,2,0)&lt;VLOOKUP(O244,D!$G$4:$H$16,2,0)),"Must correct date!",""))</f>
        <v/>
      </c>
      <c r="P246" s="263"/>
      <c r="R246" s="262"/>
      <c r="S246" s="265" t="str">
        <f>IF(AND(S245=" ",S244=" "),"",IF(OR(T245&gt;VLOOKUP(S245,D!$G$4:$I$16,3,0),AND(S245=S244,T245&lt;=T244),VLOOKUP(S245,D!$G$4:$H$16,2,0)&lt;VLOOKUP(S244,D!$G$4:$H$16,2,0)),"Must correct date!",""))</f>
        <v/>
      </c>
      <c r="T246" s="265"/>
      <c r="U246" s="243"/>
      <c r="X246" s="273"/>
      <c r="Y246" s="273"/>
      <c r="Z246" s="273"/>
      <c r="AB246" s="273"/>
      <c r="AC246" s="273"/>
      <c r="AD246" s="273"/>
      <c r="AF246" s="273"/>
      <c r="AG246" s="273"/>
      <c r="AH246" s="273"/>
      <c r="AJ246" s="273"/>
      <c r="AK246" s="273"/>
      <c r="AL246" s="273"/>
    </row>
    <row r="247" spans="1:38">
      <c r="A247" s="9"/>
      <c r="B247" s="260"/>
      <c r="C247" s="293"/>
      <c r="D247" s="294"/>
      <c r="E247" s="294"/>
      <c r="F247" s="267" t="s">
        <v>389</v>
      </c>
      <c r="G247" s="295" t="s">
        <v>437</v>
      </c>
      <c r="H247" s="295"/>
      <c r="I247" s="296"/>
      <c r="J247" s="267" t="str">
        <f t="shared" ref="J247:J256" si="20">$F247</f>
        <v>SUN:</v>
      </c>
      <c r="K247" s="295"/>
      <c r="L247" s="295"/>
      <c r="M247" s="296"/>
      <c r="N247" s="267" t="s">
        <v>389</v>
      </c>
      <c r="O247" s="295"/>
      <c r="P247" s="295"/>
      <c r="Q247" s="296"/>
      <c r="R247" s="267" t="s">
        <v>391</v>
      </c>
      <c r="S247" s="297"/>
      <c r="T247" s="297"/>
      <c r="U247" s="243"/>
      <c r="X247" s="273"/>
      <c r="Y247" s="273"/>
      <c r="Z247" s="273"/>
      <c r="AB247" s="273"/>
      <c r="AC247" s="273"/>
      <c r="AD247" s="273"/>
      <c r="AF247" s="273"/>
      <c r="AG247" s="273"/>
      <c r="AH247" s="273"/>
      <c r="AJ247" s="273"/>
      <c r="AK247" s="273"/>
      <c r="AL247" s="273"/>
    </row>
    <row r="248" spans="1:38">
      <c r="A248" s="9"/>
      <c r="B248" s="260"/>
      <c r="C248" s="293"/>
      <c r="D248" s="294"/>
      <c r="E248" s="294"/>
      <c r="F248" s="267" t="s">
        <v>396</v>
      </c>
      <c r="G248" s="295" t="s">
        <v>437</v>
      </c>
      <c r="H248" s="295"/>
      <c r="J248" s="267" t="str">
        <f t="shared" si="20"/>
        <v>MON:</v>
      </c>
      <c r="K248" s="295"/>
      <c r="L248" s="295"/>
      <c r="M248" s="296"/>
      <c r="N248" s="267" t="s">
        <v>396</v>
      </c>
      <c r="O248" s="295"/>
      <c r="P248" s="295"/>
      <c r="Q248" s="296"/>
      <c r="R248" s="267" t="s">
        <v>397</v>
      </c>
      <c r="S248" s="297"/>
      <c r="T248" s="297"/>
      <c r="U248" s="243"/>
      <c r="X248" s="273"/>
      <c r="Y248" s="273"/>
      <c r="Z248" s="273"/>
      <c r="AB248" s="273"/>
      <c r="AC248" s="273"/>
      <c r="AD248" s="273"/>
      <c r="AF248" s="273"/>
      <c r="AG248" s="273"/>
      <c r="AH248" s="273"/>
      <c r="AJ248" s="273"/>
      <c r="AK248" s="273"/>
      <c r="AL248" s="273"/>
    </row>
    <row r="249" spans="1:38" ht="28.5">
      <c r="A249" s="9"/>
      <c r="B249" s="260"/>
      <c r="C249" s="298" t="s">
        <v>387</v>
      </c>
      <c r="D249" s="294"/>
      <c r="E249" s="294"/>
      <c r="F249" s="267" t="s">
        <v>402</v>
      </c>
      <c r="G249" s="295" t="s">
        <v>437</v>
      </c>
      <c r="H249" s="295"/>
      <c r="J249" s="267" t="str">
        <f t="shared" si="20"/>
        <v>TUE:</v>
      </c>
      <c r="K249" s="295"/>
      <c r="L249" s="295"/>
      <c r="M249" s="296"/>
      <c r="N249" s="267" t="s">
        <v>402</v>
      </c>
      <c r="O249" s="295"/>
      <c r="P249" s="295"/>
      <c r="Q249" s="296"/>
      <c r="R249" s="267" t="s">
        <v>403</v>
      </c>
      <c r="S249" s="297"/>
      <c r="T249" s="297"/>
      <c r="U249" s="243"/>
      <c r="X249" s="273"/>
      <c r="Y249" s="273"/>
      <c r="Z249" s="273"/>
      <c r="AB249" s="273"/>
      <c r="AC249" s="273"/>
      <c r="AD249" s="273"/>
      <c r="AF249" s="273"/>
      <c r="AG249" s="273"/>
      <c r="AH249" s="273"/>
      <c r="AJ249" s="273"/>
      <c r="AK249" s="273"/>
      <c r="AL249" s="273"/>
    </row>
    <row r="250" spans="1:38">
      <c r="A250" s="9"/>
      <c r="B250" s="260"/>
      <c r="C250" s="298"/>
      <c r="D250" s="294"/>
      <c r="E250" s="294"/>
      <c r="F250" s="267" t="s">
        <v>407</v>
      </c>
      <c r="G250" s="295" t="s">
        <v>437</v>
      </c>
      <c r="H250" s="295"/>
      <c r="J250" s="267" t="str">
        <f t="shared" si="20"/>
        <v>WED:</v>
      </c>
      <c r="K250" s="295"/>
      <c r="L250" s="295"/>
      <c r="M250" s="296"/>
      <c r="N250" s="267" t="s">
        <v>407</v>
      </c>
      <c r="O250" s="295"/>
      <c r="P250" s="295"/>
      <c r="Q250" s="296"/>
      <c r="R250" s="267" t="s">
        <v>408</v>
      </c>
      <c r="S250" s="297"/>
      <c r="T250" s="297"/>
      <c r="U250" s="243"/>
      <c r="X250" s="273"/>
      <c r="Y250" s="273"/>
      <c r="Z250" s="273"/>
      <c r="AB250" s="273"/>
      <c r="AC250" s="273"/>
      <c r="AD250" s="273"/>
      <c r="AF250" s="273"/>
      <c r="AG250" s="273"/>
      <c r="AH250" s="273"/>
      <c r="AJ250" s="273"/>
      <c r="AK250" s="273"/>
      <c r="AL250" s="273"/>
    </row>
    <row r="251" spans="1:38" ht="24">
      <c r="A251" s="9"/>
      <c r="B251" s="260"/>
      <c r="C251" s="274" t="s">
        <v>410</v>
      </c>
      <c r="D251" s="294"/>
      <c r="E251" s="294"/>
      <c r="F251" s="267" t="s">
        <v>411</v>
      </c>
      <c r="G251" s="295" t="s">
        <v>437</v>
      </c>
      <c r="H251" s="295"/>
      <c r="J251" s="267" t="str">
        <f t="shared" si="20"/>
        <v>THU:</v>
      </c>
      <c r="K251" s="295"/>
      <c r="L251" s="295"/>
      <c r="M251" s="296"/>
      <c r="N251" s="267" t="s">
        <v>411</v>
      </c>
      <c r="O251" s="295"/>
      <c r="P251" s="295"/>
      <c r="Q251" s="296"/>
      <c r="R251" s="267" t="s">
        <v>412</v>
      </c>
      <c r="S251" s="297"/>
      <c r="T251" s="297"/>
      <c r="U251" s="243"/>
      <c r="X251" s="273"/>
      <c r="Y251" s="273"/>
      <c r="Z251" s="273"/>
      <c r="AB251" s="273"/>
      <c r="AC251" s="273"/>
      <c r="AD251" s="273"/>
      <c r="AF251" s="273"/>
      <c r="AG251" s="273"/>
      <c r="AH251" s="273"/>
      <c r="AJ251" s="273"/>
      <c r="AK251" s="273"/>
      <c r="AL251" s="273"/>
    </row>
    <row r="252" spans="1:38">
      <c r="A252" s="9"/>
      <c r="B252" s="260"/>
      <c r="C252" s="274"/>
      <c r="D252" s="294"/>
      <c r="E252" s="294"/>
      <c r="F252" s="267" t="s">
        <v>414</v>
      </c>
      <c r="G252" s="295" t="s">
        <v>437</v>
      </c>
      <c r="H252" s="295"/>
      <c r="J252" s="267" t="str">
        <f t="shared" si="20"/>
        <v>FRI:</v>
      </c>
      <c r="K252" s="295"/>
      <c r="L252" s="295"/>
      <c r="M252" s="296"/>
      <c r="N252" s="267" t="s">
        <v>414</v>
      </c>
      <c r="O252" s="295"/>
      <c r="P252" s="295"/>
      <c r="Q252" s="296"/>
      <c r="R252" s="267" t="s">
        <v>415</v>
      </c>
      <c r="S252" s="297"/>
      <c r="T252" s="297"/>
      <c r="U252" s="243"/>
      <c r="X252" s="273"/>
      <c r="Y252" s="273"/>
      <c r="Z252" s="273"/>
      <c r="AB252" s="273"/>
      <c r="AC252" s="273"/>
      <c r="AD252" s="273"/>
      <c r="AF252" s="273"/>
      <c r="AG252" s="273"/>
      <c r="AH252" s="273"/>
      <c r="AJ252" s="273"/>
      <c r="AK252" s="273"/>
      <c r="AL252" s="273"/>
    </row>
    <row r="253" spans="1:38">
      <c r="A253" s="9"/>
      <c r="B253" s="260"/>
      <c r="C253" s="238" t="str">
        <f>IF(AND(C249="Other",OR(D253=" ",D253="")),"Select Type →",IF(AND(NOT(C249="Other"),AND(NOT(D253=" "),NOT(D253=""))),"Deselect Type→",VLOOKUP(C249,$BL$6:$BM$19,2,0)))</f>
        <v>On/Off</v>
      </c>
      <c r="D253" s="299"/>
      <c r="E253" s="299"/>
      <c r="F253" s="267" t="s">
        <v>418</v>
      </c>
      <c r="G253" s="295" t="s">
        <v>437</v>
      </c>
      <c r="H253" s="295"/>
      <c r="J253" s="267" t="str">
        <f t="shared" si="20"/>
        <v>SAT:</v>
      </c>
      <c r="K253" s="295"/>
      <c r="L253" s="295"/>
      <c r="M253" s="296"/>
      <c r="N253" s="267" t="s">
        <v>418</v>
      </c>
      <c r="O253" s="295"/>
      <c r="P253" s="295"/>
      <c r="Q253" s="296"/>
      <c r="R253" s="267" t="s">
        <v>419</v>
      </c>
      <c r="S253" s="297"/>
      <c r="T253" s="297"/>
      <c r="U253" s="243"/>
      <c r="X253" s="273"/>
      <c r="Y253" s="273"/>
      <c r="Z253" s="273"/>
      <c r="AB253" s="273"/>
      <c r="AC253" s="273"/>
      <c r="AD253" s="273"/>
      <c r="AF253" s="273"/>
      <c r="AG253" s="273"/>
      <c r="AH253" s="273"/>
      <c r="AJ253" s="273"/>
      <c r="AK253" s="273"/>
      <c r="AL253" s="273"/>
    </row>
    <row r="254" spans="1:38">
      <c r="A254" s="9"/>
      <c r="B254" s="260"/>
      <c r="C254" s="238"/>
      <c r="D254" s="299"/>
      <c r="E254" s="299"/>
      <c r="F254" s="267" t="s">
        <v>421</v>
      </c>
      <c r="G254" s="295" t="s">
        <v>437</v>
      </c>
      <c r="H254" s="295"/>
      <c r="J254" s="267" t="str">
        <f t="shared" si="20"/>
        <v>HOL:</v>
      </c>
      <c r="K254" s="295"/>
      <c r="L254" s="295"/>
      <c r="M254" s="296"/>
      <c r="N254" s="267" t="s">
        <v>421</v>
      </c>
      <c r="O254" s="295"/>
      <c r="P254" s="295"/>
      <c r="Q254" s="296"/>
      <c r="R254" s="267" t="s">
        <v>391</v>
      </c>
      <c r="S254" s="297"/>
      <c r="T254" s="297"/>
      <c r="U254" s="243"/>
      <c r="X254" s="273"/>
      <c r="Y254" s="273"/>
      <c r="Z254" s="273"/>
      <c r="AB254" s="273"/>
      <c r="AC254" s="273"/>
      <c r="AD254" s="273"/>
      <c r="AF254" s="273"/>
      <c r="AG254" s="273"/>
      <c r="AH254" s="273"/>
      <c r="AJ254" s="273"/>
      <c r="AK254" s="273"/>
      <c r="AL254" s="273"/>
    </row>
    <row r="255" spans="1:38">
      <c r="A255" s="9"/>
      <c r="B255" s="260"/>
      <c r="C255" s="300"/>
      <c r="D255" s="300"/>
      <c r="E255" s="300"/>
      <c r="F255" s="267" t="s">
        <v>424</v>
      </c>
      <c r="G255" s="295" t="s">
        <v>438</v>
      </c>
      <c r="H255" s="295"/>
      <c r="J255" s="267" t="str">
        <f t="shared" si="20"/>
        <v>HDD:</v>
      </c>
      <c r="K255" s="295"/>
      <c r="L255" s="295"/>
      <c r="M255" s="296"/>
      <c r="N255" s="267" t="s">
        <v>424</v>
      </c>
      <c r="O255" s="295"/>
      <c r="P255" s="295"/>
      <c r="Q255" s="296"/>
      <c r="R255" s="267" t="s">
        <v>426</v>
      </c>
      <c r="S255" s="297"/>
      <c r="T255" s="297"/>
      <c r="U255" s="243"/>
    </row>
    <row r="256" spans="1:38">
      <c r="A256" s="9"/>
      <c r="B256" s="260"/>
      <c r="C256" s="300"/>
      <c r="D256" s="300"/>
      <c r="E256" s="300"/>
      <c r="F256" s="267" t="s">
        <v>429</v>
      </c>
      <c r="G256" s="295" t="s">
        <v>439</v>
      </c>
      <c r="H256" s="295"/>
      <c r="I256" s="296"/>
      <c r="J256" s="267" t="str">
        <f t="shared" si="20"/>
        <v>CDD:</v>
      </c>
      <c r="K256" s="295"/>
      <c r="L256" s="295"/>
      <c r="M256" s="296"/>
      <c r="N256" s="267" t="s">
        <v>429</v>
      </c>
      <c r="O256" s="295"/>
      <c r="P256" s="295"/>
      <c r="Q256" s="296"/>
      <c r="R256" s="267" t="s">
        <v>431</v>
      </c>
      <c r="S256" s="297"/>
      <c r="T256" s="297"/>
      <c r="U256" s="243"/>
    </row>
    <row r="257" spans="1:38">
      <c r="A257" s="9"/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43"/>
    </row>
    <row r="258" spans="1:38" ht="28.5">
      <c r="A258" s="9">
        <f>A244+1</f>
        <v>19</v>
      </c>
      <c r="B258" s="282" t="s">
        <v>376</v>
      </c>
      <c r="C258" s="287" t="s">
        <v>435</v>
      </c>
      <c r="D258" s="287"/>
      <c r="E258" s="287"/>
      <c r="F258" s="249" t="s">
        <v>378</v>
      </c>
      <c r="G258" s="288" t="s">
        <v>379</v>
      </c>
      <c r="H258" s="289">
        <v>1</v>
      </c>
      <c r="I258" s="289"/>
      <c r="J258" s="249" t="s">
        <v>378</v>
      </c>
      <c r="K258" s="290" t="str">
        <f>IF(AND(G259="December",H259=31)," ",IF(VLOOKUP(G259,D!$G$5:$I$16,3,0)=H259,LOOKUP(VLOOKUP(G259,D!$G$4:$H$16,2,0)+1,D!$H$4:$H$16,D!$G$4:$G$16),G259))</f>
        <v>January</v>
      </c>
      <c r="L258" s="289">
        <f>IF(K258=" "," ",IF(K258=G259,H259+1,1))</f>
        <v>29</v>
      </c>
      <c r="M258" s="289"/>
      <c r="N258" s="249" t="s">
        <v>378</v>
      </c>
      <c r="O258" s="288" t="str">
        <f>IF(OR(K259=" ",AND(K259="December",L259=31))," ",IF(VLOOKUP(K259,D!$G$5:$I$16,3,0)=L259,LOOKUP(VLOOKUP(K259,D!$G$4:$H$16,2,0)+1,D!$H$4:$H$16,D!$G$4:$G$16),K259))</f>
        <v>June</v>
      </c>
      <c r="P258" s="289">
        <f>IF(O258=" "," ",IF(O258=K259,L259+1,1))</f>
        <v>9</v>
      </c>
      <c r="Q258" s="289"/>
      <c r="R258" s="249" t="s">
        <v>378</v>
      </c>
      <c r="S258" s="288" t="str">
        <f>IF(OR(O259=" ",AND(O259="December",P259=31))," ",IF(VLOOKUP(O259,D!$G$5:$I$16,3,0)=P259,LOOKUP(VLOOKUP(O259,D!$G$4:$H$16,2,0)+1,D!$H$4:$H$16,D!$G$4:$G$16),O259))</f>
        <v>September</v>
      </c>
      <c r="T258" s="289">
        <f>IF(S258=" "," ",IF(S258=O259,P259+1,1))</f>
        <v>9</v>
      </c>
      <c r="U258" s="243"/>
    </row>
    <row r="259" spans="1:38" ht="28.5">
      <c r="A259" s="9"/>
      <c r="B259" s="282"/>
      <c r="C259" s="287"/>
      <c r="D259" s="287"/>
      <c r="E259" s="287"/>
      <c r="F259" s="255" t="s">
        <v>380</v>
      </c>
      <c r="G259" s="291" t="s">
        <v>379</v>
      </c>
      <c r="H259" s="292">
        <v>28</v>
      </c>
      <c r="I259" s="292"/>
      <c r="J259" s="255" t="s">
        <v>380</v>
      </c>
      <c r="K259" s="291" t="s">
        <v>383</v>
      </c>
      <c r="L259" s="292">
        <v>8</v>
      </c>
      <c r="M259" s="292"/>
      <c r="N259" s="255" t="s">
        <v>380</v>
      </c>
      <c r="O259" s="291" t="s">
        <v>436</v>
      </c>
      <c r="P259" s="292">
        <v>8</v>
      </c>
      <c r="Q259" s="292"/>
      <c r="R259" s="255" t="s">
        <v>380</v>
      </c>
      <c r="S259" s="291" t="s">
        <v>384</v>
      </c>
      <c r="T259" s="292">
        <v>31</v>
      </c>
      <c r="U259" s="243"/>
      <c r="X259" s="273"/>
      <c r="Y259" s="273"/>
      <c r="Z259" s="273"/>
      <c r="AB259" s="273"/>
      <c r="AC259" s="273"/>
      <c r="AD259" s="273"/>
      <c r="AF259" s="273"/>
      <c r="AG259" s="273"/>
      <c r="AH259" s="273"/>
      <c r="AJ259" s="273"/>
      <c r="AK259" s="273"/>
      <c r="AL259" s="273"/>
    </row>
    <row r="260" spans="1:38">
      <c r="A260" s="9"/>
      <c r="B260" s="260"/>
      <c r="C260" s="293" t="s">
        <v>395</v>
      </c>
      <c r="D260" s="294"/>
      <c r="E260" s="294"/>
      <c r="F260" s="262"/>
      <c r="G260" s="263" t="str">
        <f>IF(OR(H259&gt;VLOOKUP(G259,D!$G$4:$I$16,3,0),AND(G259=G258,H259&lt;=H258),VLOOKUP(G259,D!$G$4:$H$16,2,0)&lt;VLOOKUP(G258,D!$G$4:$H$16,2,0)),"Must correct date!","")</f>
        <v/>
      </c>
      <c r="H260" s="263"/>
      <c r="J260" s="262"/>
      <c r="K260" s="263" t="str">
        <f>IF(AND(K259=" ",K258=" "),"",IF(OR(L259&gt;VLOOKUP(K259,D!$G$4:$I$16,3,0),AND(K259=K258,L259&lt;=L258),VLOOKUP(K259,D!$G$4:$H$16,2,0)&lt;VLOOKUP(K258,D!$G$4:$H$16,2,0)),"Must correct date!",""))</f>
        <v/>
      </c>
      <c r="L260" s="263"/>
      <c r="N260" s="262"/>
      <c r="O260" s="263" t="str">
        <f>IF(AND(O259=" ",O258=" "),"",IF(OR(P259&gt;VLOOKUP(O259,D!$G$4:$I$16,3,0),AND(O259=O258,P259&lt;=P258),VLOOKUP(O259,D!$G$4:$H$16,2,0)&lt;VLOOKUP(O258,D!$G$4:$H$16,2,0)),"Must correct date!",""))</f>
        <v/>
      </c>
      <c r="P260" s="263"/>
      <c r="R260" s="262"/>
      <c r="S260" s="265" t="str">
        <f>IF(AND(S259=" ",S258=" "),"",IF(OR(T259&gt;VLOOKUP(S259,D!$G$4:$I$16,3,0),AND(S259=S258,T259&lt;=T258),VLOOKUP(S259,D!$G$4:$H$16,2,0)&lt;VLOOKUP(S258,D!$G$4:$H$16,2,0)),"Must correct date!",""))</f>
        <v/>
      </c>
      <c r="T260" s="265"/>
      <c r="U260" s="243"/>
      <c r="X260" s="273"/>
      <c r="Y260" s="273"/>
      <c r="Z260" s="273"/>
      <c r="AB260" s="273"/>
      <c r="AC260" s="273"/>
      <c r="AD260" s="273"/>
      <c r="AF260" s="273"/>
      <c r="AG260" s="273"/>
      <c r="AH260" s="273"/>
      <c r="AJ260" s="273"/>
      <c r="AK260" s="273"/>
      <c r="AL260" s="273"/>
    </row>
    <row r="261" spans="1:38">
      <c r="A261" s="9"/>
      <c r="B261" s="260"/>
      <c r="C261" s="293"/>
      <c r="D261" s="294"/>
      <c r="E261" s="294"/>
      <c r="F261" s="267" t="s">
        <v>389</v>
      </c>
      <c r="G261" s="295" t="s">
        <v>437</v>
      </c>
      <c r="H261" s="295"/>
      <c r="I261" s="296"/>
      <c r="J261" s="267" t="str">
        <f t="shared" ref="J261:J270" si="21">$F261</f>
        <v>SUN:</v>
      </c>
      <c r="K261" s="295"/>
      <c r="L261" s="295"/>
      <c r="M261" s="296"/>
      <c r="N261" s="267" t="s">
        <v>389</v>
      </c>
      <c r="O261" s="295"/>
      <c r="P261" s="295"/>
      <c r="Q261" s="296"/>
      <c r="R261" s="267" t="s">
        <v>391</v>
      </c>
      <c r="S261" s="297"/>
      <c r="T261" s="297"/>
      <c r="U261" s="243"/>
      <c r="X261" s="273"/>
      <c r="Y261" s="273"/>
      <c r="Z261" s="273"/>
      <c r="AB261" s="273"/>
      <c r="AC261" s="273"/>
      <c r="AD261" s="273"/>
      <c r="AF261" s="273"/>
      <c r="AG261" s="273"/>
      <c r="AH261" s="273"/>
      <c r="AJ261" s="273"/>
      <c r="AK261" s="273"/>
      <c r="AL261" s="273"/>
    </row>
    <row r="262" spans="1:38">
      <c r="A262" s="9"/>
      <c r="B262" s="260"/>
      <c r="C262" s="293"/>
      <c r="D262" s="294"/>
      <c r="E262" s="294"/>
      <c r="F262" s="267" t="s">
        <v>396</v>
      </c>
      <c r="G262" s="295" t="s">
        <v>437</v>
      </c>
      <c r="H262" s="295"/>
      <c r="J262" s="267" t="str">
        <f t="shared" si="21"/>
        <v>MON:</v>
      </c>
      <c r="K262" s="295"/>
      <c r="L262" s="295"/>
      <c r="M262" s="296"/>
      <c r="N262" s="267" t="s">
        <v>396</v>
      </c>
      <c r="O262" s="295"/>
      <c r="P262" s="295"/>
      <c r="Q262" s="296"/>
      <c r="R262" s="267" t="s">
        <v>397</v>
      </c>
      <c r="S262" s="297"/>
      <c r="T262" s="297"/>
      <c r="U262" s="243"/>
      <c r="X262" s="273"/>
      <c r="Y262" s="273"/>
      <c r="Z262" s="273"/>
      <c r="AB262" s="273"/>
      <c r="AC262" s="273"/>
      <c r="AD262" s="273"/>
      <c r="AF262" s="273"/>
      <c r="AG262" s="273"/>
      <c r="AH262" s="273"/>
      <c r="AJ262" s="273"/>
      <c r="AK262" s="273"/>
      <c r="AL262" s="273"/>
    </row>
    <row r="263" spans="1:38" ht="28.5">
      <c r="A263" s="9"/>
      <c r="B263" s="260"/>
      <c r="C263" s="298" t="s">
        <v>387</v>
      </c>
      <c r="D263" s="294"/>
      <c r="E263" s="294"/>
      <c r="F263" s="267" t="s">
        <v>402</v>
      </c>
      <c r="G263" s="295" t="s">
        <v>437</v>
      </c>
      <c r="H263" s="295"/>
      <c r="J263" s="267" t="str">
        <f t="shared" si="21"/>
        <v>TUE:</v>
      </c>
      <c r="K263" s="295"/>
      <c r="L263" s="295"/>
      <c r="M263" s="296"/>
      <c r="N263" s="267" t="s">
        <v>402</v>
      </c>
      <c r="O263" s="295"/>
      <c r="P263" s="295"/>
      <c r="Q263" s="296"/>
      <c r="R263" s="267" t="s">
        <v>403</v>
      </c>
      <c r="S263" s="297"/>
      <c r="T263" s="297"/>
      <c r="U263" s="243"/>
      <c r="X263" s="273"/>
      <c r="Y263" s="273"/>
      <c r="Z263" s="273"/>
      <c r="AB263" s="273"/>
      <c r="AC263" s="273"/>
      <c r="AD263" s="273"/>
      <c r="AF263" s="273"/>
      <c r="AG263" s="273"/>
      <c r="AH263" s="273"/>
      <c r="AJ263" s="273"/>
      <c r="AK263" s="273"/>
      <c r="AL263" s="273"/>
    </row>
    <row r="264" spans="1:38">
      <c r="A264" s="9"/>
      <c r="B264" s="260"/>
      <c r="C264" s="298"/>
      <c r="D264" s="294"/>
      <c r="E264" s="294"/>
      <c r="F264" s="267" t="s">
        <v>407</v>
      </c>
      <c r="G264" s="295" t="s">
        <v>437</v>
      </c>
      <c r="H264" s="295"/>
      <c r="J264" s="267" t="str">
        <f t="shared" si="21"/>
        <v>WED:</v>
      </c>
      <c r="K264" s="295"/>
      <c r="L264" s="295"/>
      <c r="M264" s="296"/>
      <c r="N264" s="267" t="s">
        <v>407</v>
      </c>
      <c r="O264" s="295"/>
      <c r="P264" s="295"/>
      <c r="Q264" s="296"/>
      <c r="R264" s="267" t="s">
        <v>408</v>
      </c>
      <c r="S264" s="297"/>
      <c r="T264" s="297"/>
      <c r="U264" s="243"/>
      <c r="X264" s="273"/>
      <c r="Y264" s="273"/>
      <c r="Z264" s="273"/>
      <c r="AB264" s="273"/>
      <c r="AC264" s="273"/>
      <c r="AD264" s="273"/>
      <c r="AF264" s="273"/>
      <c r="AG264" s="273"/>
      <c r="AH264" s="273"/>
      <c r="AJ264" s="273"/>
      <c r="AK264" s="273"/>
      <c r="AL264" s="273"/>
    </row>
    <row r="265" spans="1:38" ht="24">
      <c r="A265" s="9"/>
      <c r="B265" s="260"/>
      <c r="C265" s="274" t="s">
        <v>410</v>
      </c>
      <c r="D265" s="294"/>
      <c r="E265" s="294"/>
      <c r="F265" s="267" t="s">
        <v>411</v>
      </c>
      <c r="G265" s="295" t="s">
        <v>437</v>
      </c>
      <c r="H265" s="295"/>
      <c r="J265" s="267" t="str">
        <f t="shared" si="21"/>
        <v>THU:</v>
      </c>
      <c r="K265" s="295"/>
      <c r="L265" s="295"/>
      <c r="M265" s="296"/>
      <c r="N265" s="267" t="s">
        <v>411</v>
      </c>
      <c r="O265" s="295"/>
      <c r="P265" s="295"/>
      <c r="Q265" s="296"/>
      <c r="R265" s="267" t="s">
        <v>412</v>
      </c>
      <c r="S265" s="297"/>
      <c r="T265" s="297"/>
      <c r="U265" s="243"/>
      <c r="X265" s="273"/>
      <c r="Y265" s="273"/>
      <c r="Z265" s="273"/>
      <c r="AB265" s="273"/>
      <c r="AC265" s="273"/>
      <c r="AD265" s="273"/>
      <c r="AF265" s="273"/>
      <c r="AG265" s="273"/>
      <c r="AH265" s="273"/>
      <c r="AJ265" s="273"/>
      <c r="AK265" s="273"/>
      <c r="AL265" s="273"/>
    </row>
    <row r="266" spans="1:38">
      <c r="A266" s="9"/>
      <c r="B266" s="260"/>
      <c r="C266" s="274"/>
      <c r="D266" s="294"/>
      <c r="E266" s="294"/>
      <c r="F266" s="267" t="s">
        <v>414</v>
      </c>
      <c r="G266" s="295" t="s">
        <v>437</v>
      </c>
      <c r="H266" s="295"/>
      <c r="J266" s="267" t="str">
        <f t="shared" si="21"/>
        <v>FRI:</v>
      </c>
      <c r="K266" s="295"/>
      <c r="L266" s="295"/>
      <c r="M266" s="296"/>
      <c r="N266" s="267" t="s">
        <v>414</v>
      </c>
      <c r="O266" s="295"/>
      <c r="P266" s="295"/>
      <c r="Q266" s="296"/>
      <c r="R266" s="267" t="s">
        <v>415</v>
      </c>
      <c r="S266" s="297"/>
      <c r="T266" s="297"/>
      <c r="U266" s="243"/>
      <c r="X266" s="273"/>
      <c r="Y266" s="273"/>
      <c r="Z266" s="273"/>
      <c r="AB266" s="273"/>
      <c r="AC266" s="273"/>
      <c r="AD266" s="273"/>
      <c r="AF266" s="273"/>
      <c r="AG266" s="273"/>
      <c r="AH266" s="273"/>
      <c r="AJ266" s="273"/>
      <c r="AK266" s="273"/>
      <c r="AL266" s="273"/>
    </row>
    <row r="267" spans="1:38">
      <c r="A267" s="9"/>
      <c r="B267" s="260"/>
      <c r="C267" s="238" t="str">
        <f>IF(AND(C263="Other",OR(D267=" ",D267="")),"Select Type →",IF(AND(NOT(C263="Other"),AND(NOT(D267=" "),NOT(D267=""))),"Deselect Type→",VLOOKUP(C263,$BL$6:$BM$19,2,0)))</f>
        <v>On/Off</v>
      </c>
      <c r="D267" s="299"/>
      <c r="E267" s="299"/>
      <c r="F267" s="267" t="s">
        <v>418</v>
      </c>
      <c r="G267" s="295" t="s">
        <v>437</v>
      </c>
      <c r="H267" s="295"/>
      <c r="J267" s="267" t="str">
        <f t="shared" si="21"/>
        <v>SAT:</v>
      </c>
      <c r="K267" s="295"/>
      <c r="L267" s="295"/>
      <c r="M267" s="296"/>
      <c r="N267" s="267" t="s">
        <v>418</v>
      </c>
      <c r="O267" s="295"/>
      <c r="P267" s="295"/>
      <c r="Q267" s="296"/>
      <c r="R267" s="267" t="s">
        <v>419</v>
      </c>
      <c r="S267" s="297"/>
      <c r="T267" s="297"/>
      <c r="U267" s="243"/>
      <c r="X267" s="273"/>
      <c r="Y267" s="273"/>
      <c r="Z267" s="273"/>
      <c r="AB267" s="273"/>
      <c r="AC267" s="273"/>
      <c r="AD267" s="273"/>
      <c r="AF267" s="273"/>
      <c r="AG267" s="273"/>
      <c r="AH267" s="273"/>
      <c r="AJ267" s="273"/>
      <c r="AK267" s="273"/>
      <c r="AL267" s="273"/>
    </row>
    <row r="268" spans="1:38">
      <c r="A268" s="9"/>
      <c r="B268" s="260"/>
      <c r="C268" s="238"/>
      <c r="D268" s="299"/>
      <c r="E268" s="299"/>
      <c r="F268" s="267" t="s">
        <v>421</v>
      </c>
      <c r="G268" s="295" t="s">
        <v>437</v>
      </c>
      <c r="H268" s="295"/>
      <c r="J268" s="267" t="str">
        <f t="shared" si="21"/>
        <v>HOL:</v>
      </c>
      <c r="K268" s="295"/>
      <c r="L268" s="295"/>
      <c r="M268" s="296"/>
      <c r="N268" s="267" t="s">
        <v>421</v>
      </c>
      <c r="O268" s="295"/>
      <c r="P268" s="295"/>
      <c r="Q268" s="296"/>
      <c r="R268" s="267" t="s">
        <v>391</v>
      </c>
      <c r="S268" s="297"/>
      <c r="T268" s="297"/>
      <c r="U268" s="243"/>
      <c r="X268" s="273"/>
      <c r="Y268" s="273"/>
      <c r="Z268" s="273"/>
      <c r="AB268" s="273"/>
      <c r="AC268" s="273"/>
      <c r="AD268" s="273"/>
      <c r="AF268" s="273"/>
      <c r="AG268" s="273"/>
      <c r="AH268" s="273"/>
      <c r="AJ268" s="273"/>
      <c r="AK268" s="273"/>
      <c r="AL268" s="273"/>
    </row>
    <row r="269" spans="1:38">
      <c r="A269" s="9"/>
      <c r="B269" s="260"/>
      <c r="C269" s="300"/>
      <c r="D269" s="300"/>
      <c r="E269" s="300"/>
      <c r="F269" s="267" t="s">
        <v>424</v>
      </c>
      <c r="G269" s="295" t="s">
        <v>438</v>
      </c>
      <c r="H269" s="295"/>
      <c r="J269" s="267" t="str">
        <f t="shared" si="21"/>
        <v>HDD:</v>
      </c>
      <c r="K269" s="295"/>
      <c r="L269" s="295"/>
      <c r="M269" s="296"/>
      <c r="N269" s="267" t="s">
        <v>424</v>
      </c>
      <c r="O269" s="295"/>
      <c r="P269" s="295"/>
      <c r="Q269" s="296"/>
      <c r="R269" s="267" t="s">
        <v>426</v>
      </c>
      <c r="S269" s="297"/>
      <c r="T269" s="297"/>
      <c r="U269" s="243"/>
    </row>
    <row r="270" spans="1:38">
      <c r="A270" s="9"/>
      <c r="B270" s="260"/>
      <c r="C270" s="300"/>
      <c r="D270" s="300"/>
      <c r="E270" s="300"/>
      <c r="F270" s="267" t="s">
        <v>429</v>
      </c>
      <c r="G270" s="295" t="s">
        <v>439</v>
      </c>
      <c r="H270" s="295"/>
      <c r="I270" s="296"/>
      <c r="J270" s="267" t="str">
        <f t="shared" si="21"/>
        <v>CDD:</v>
      </c>
      <c r="K270" s="295"/>
      <c r="L270" s="295"/>
      <c r="M270" s="296"/>
      <c r="N270" s="267" t="s">
        <v>429</v>
      </c>
      <c r="O270" s="295"/>
      <c r="P270" s="295"/>
      <c r="Q270" s="296"/>
      <c r="R270" s="267" t="s">
        <v>431</v>
      </c>
      <c r="S270" s="297"/>
      <c r="T270" s="297"/>
      <c r="U270" s="243"/>
    </row>
    <row r="271" spans="1:38">
      <c r="A271" s="9"/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43"/>
    </row>
    <row r="272" spans="1:38" ht="28.5">
      <c r="A272" s="9">
        <f>A258+1</f>
        <v>20</v>
      </c>
      <c r="B272" s="282" t="s">
        <v>376</v>
      </c>
      <c r="C272" s="287" t="s">
        <v>435</v>
      </c>
      <c r="D272" s="287"/>
      <c r="E272" s="287"/>
      <c r="F272" s="249" t="s">
        <v>378</v>
      </c>
      <c r="G272" s="288" t="s">
        <v>379</v>
      </c>
      <c r="H272" s="289">
        <v>1</v>
      </c>
      <c r="I272" s="289"/>
      <c r="J272" s="249" t="s">
        <v>378</v>
      </c>
      <c r="K272" s="290" t="str">
        <f>IF(AND(G273="December",H273=31)," ",IF(VLOOKUP(G273,D!$G$5:$I$16,3,0)=H273,LOOKUP(VLOOKUP(G273,D!$G$4:$H$16,2,0)+1,D!$H$4:$H$16,D!$G$4:$G$16),G273))</f>
        <v>January</v>
      </c>
      <c r="L272" s="289">
        <f>IF(K272=" "," ",IF(K272=G273,H273+1,1))</f>
        <v>29</v>
      </c>
      <c r="M272" s="289"/>
      <c r="N272" s="249" t="s">
        <v>378</v>
      </c>
      <c r="O272" s="288" t="str">
        <f>IF(OR(K273=" ",AND(K273="December",L273=31))," ",IF(VLOOKUP(K273,D!$G$5:$I$16,3,0)=L273,LOOKUP(VLOOKUP(K273,D!$G$4:$H$16,2,0)+1,D!$H$4:$H$16,D!$G$4:$G$16),K273))</f>
        <v>June</v>
      </c>
      <c r="P272" s="289">
        <f>IF(O272=" "," ",IF(O272=K273,L273+1,1))</f>
        <v>9</v>
      </c>
      <c r="Q272" s="289"/>
      <c r="R272" s="249" t="s">
        <v>378</v>
      </c>
      <c r="S272" s="288" t="str">
        <f>IF(OR(O273=" ",AND(O273="December",P273=31))," ",IF(VLOOKUP(O273,D!$G$5:$I$16,3,0)=P273,LOOKUP(VLOOKUP(O273,D!$G$4:$H$16,2,0)+1,D!$H$4:$H$16,D!$G$4:$G$16),O273))</f>
        <v>September</v>
      </c>
      <c r="T272" s="289">
        <f>IF(S272=" "," ",IF(S272=O273,P273+1,1))</f>
        <v>9</v>
      </c>
      <c r="U272" s="243"/>
    </row>
    <row r="273" spans="1:38" ht="28.5">
      <c r="A273" s="9"/>
      <c r="B273" s="282"/>
      <c r="C273" s="287"/>
      <c r="D273" s="287"/>
      <c r="E273" s="287"/>
      <c r="F273" s="255" t="s">
        <v>380</v>
      </c>
      <c r="G273" s="291" t="s">
        <v>379</v>
      </c>
      <c r="H273" s="292">
        <v>28</v>
      </c>
      <c r="I273" s="292"/>
      <c r="J273" s="255" t="s">
        <v>380</v>
      </c>
      <c r="K273" s="291" t="s">
        <v>383</v>
      </c>
      <c r="L273" s="292">
        <v>8</v>
      </c>
      <c r="M273" s="292"/>
      <c r="N273" s="255" t="s">
        <v>380</v>
      </c>
      <c r="O273" s="291" t="s">
        <v>436</v>
      </c>
      <c r="P273" s="292">
        <v>8</v>
      </c>
      <c r="Q273" s="292"/>
      <c r="R273" s="255" t="s">
        <v>380</v>
      </c>
      <c r="S273" s="291" t="s">
        <v>384</v>
      </c>
      <c r="T273" s="292">
        <v>31</v>
      </c>
      <c r="U273" s="243"/>
      <c r="X273" s="273"/>
      <c r="Y273" s="273"/>
      <c r="Z273" s="273"/>
      <c r="AB273" s="273"/>
      <c r="AC273" s="273"/>
      <c r="AD273" s="273"/>
      <c r="AF273" s="273"/>
      <c r="AG273" s="273"/>
      <c r="AH273" s="273"/>
      <c r="AJ273" s="273"/>
      <c r="AK273" s="273"/>
      <c r="AL273" s="273"/>
    </row>
    <row r="274" spans="1:38">
      <c r="A274" s="9"/>
      <c r="B274" s="260"/>
      <c r="C274" s="293" t="s">
        <v>395</v>
      </c>
      <c r="D274" s="294"/>
      <c r="E274" s="294"/>
      <c r="F274" s="262"/>
      <c r="G274" s="263" t="str">
        <f>IF(OR(H273&gt;VLOOKUP(G273,D!$G$4:$I$16,3,0),AND(G273=G272,H273&lt;=H272),VLOOKUP(G273,D!$G$4:$H$16,2,0)&lt;VLOOKUP(G272,D!$G$4:$H$16,2,0)),"Must correct date!","")</f>
        <v/>
      </c>
      <c r="H274" s="263"/>
      <c r="J274" s="262"/>
      <c r="K274" s="263" t="str">
        <f>IF(AND(K273=" ",K272=" "),"",IF(OR(L273&gt;VLOOKUP(K273,D!$G$4:$I$16,3,0),AND(K273=K272,L273&lt;=L272),VLOOKUP(K273,D!$G$4:$H$16,2,0)&lt;VLOOKUP(K272,D!$G$4:$H$16,2,0)),"Must correct date!",""))</f>
        <v/>
      </c>
      <c r="L274" s="263"/>
      <c r="N274" s="262"/>
      <c r="O274" s="263" t="str">
        <f>IF(AND(O273=" ",O272=" "),"",IF(OR(P273&gt;VLOOKUP(O273,D!$G$4:$I$16,3,0),AND(O273=O272,P273&lt;=P272),VLOOKUP(O273,D!$G$4:$H$16,2,0)&lt;VLOOKUP(O272,D!$G$4:$H$16,2,0)),"Must correct date!",""))</f>
        <v/>
      </c>
      <c r="P274" s="263"/>
      <c r="R274" s="262"/>
      <c r="S274" s="265" t="str">
        <f>IF(AND(S273=" ",S272=" "),"",IF(OR(T273&gt;VLOOKUP(S273,D!$G$4:$I$16,3,0),AND(S273=S272,T273&lt;=T272),VLOOKUP(S273,D!$G$4:$H$16,2,0)&lt;VLOOKUP(S272,D!$G$4:$H$16,2,0)),"Must correct date!",""))</f>
        <v/>
      </c>
      <c r="T274" s="265"/>
      <c r="U274" s="243"/>
      <c r="X274" s="273"/>
      <c r="Y274" s="273"/>
      <c r="Z274" s="273"/>
      <c r="AB274" s="273"/>
      <c r="AC274" s="273"/>
      <c r="AD274" s="273"/>
      <c r="AF274" s="273"/>
      <c r="AG274" s="273"/>
      <c r="AH274" s="273"/>
      <c r="AJ274" s="273"/>
      <c r="AK274" s="273"/>
      <c r="AL274" s="273"/>
    </row>
    <row r="275" spans="1:38">
      <c r="A275" s="9"/>
      <c r="B275" s="260"/>
      <c r="C275" s="293"/>
      <c r="D275" s="294"/>
      <c r="E275" s="294"/>
      <c r="F275" s="267" t="s">
        <v>389</v>
      </c>
      <c r="G275" s="295" t="s">
        <v>437</v>
      </c>
      <c r="H275" s="295"/>
      <c r="I275" s="296"/>
      <c r="J275" s="267" t="str">
        <f t="shared" ref="J275:J284" si="22">$F275</f>
        <v>SUN:</v>
      </c>
      <c r="K275" s="295"/>
      <c r="L275" s="295"/>
      <c r="M275" s="296"/>
      <c r="N275" s="267" t="s">
        <v>389</v>
      </c>
      <c r="O275" s="295"/>
      <c r="P275" s="295"/>
      <c r="Q275" s="296"/>
      <c r="R275" s="267" t="s">
        <v>391</v>
      </c>
      <c r="S275" s="297"/>
      <c r="T275" s="297"/>
      <c r="U275" s="243"/>
      <c r="X275" s="273"/>
      <c r="Y275" s="273"/>
      <c r="Z275" s="273"/>
      <c r="AB275" s="273"/>
      <c r="AC275" s="273"/>
      <c r="AD275" s="273"/>
      <c r="AF275" s="273"/>
      <c r="AG275" s="273"/>
      <c r="AH275" s="273"/>
      <c r="AJ275" s="273"/>
      <c r="AK275" s="273"/>
      <c r="AL275" s="273"/>
    </row>
    <row r="276" spans="1:38">
      <c r="A276" s="9"/>
      <c r="B276" s="260"/>
      <c r="C276" s="293"/>
      <c r="D276" s="294"/>
      <c r="E276" s="294"/>
      <c r="F276" s="267" t="s">
        <v>396</v>
      </c>
      <c r="G276" s="295" t="s">
        <v>437</v>
      </c>
      <c r="H276" s="295"/>
      <c r="J276" s="267" t="str">
        <f t="shared" si="22"/>
        <v>MON:</v>
      </c>
      <c r="K276" s="295"/>
      <c r="L276" s="295"/>
      <c r="M276" s="296"/>
      <c r="N276" s="267" t="s">
        <v>396</v>
      </c>
      <c r="O276" s="295"/>
      <c r="P276" s="295"/>
      <c r="Q276" s="296"/>
      <c r="R276" s="267" t="s">
        <v>397</v>
      </c>
      <c r="S276" s="297"/>
      <c r="T276" s="297"/>
      <c r="U276" s="243"/>
      <c r="X276" s="273"/>
      <c r="Y276" s="273"/>
      <c r="Z276" s="273"/>
      <c r="AB276" s="273"/>
      <c r="AC276" s="273"/>
      <c r="AD276" s="273"/>
      <c r="AF276" s="273"/>
      <c r="AG276" s="273"/>
      <c r="AH276" s="273"/>
      <c r="AJ276" s="273"/>
      <c r="AK276" s="273"/>
      <c r="AL276" s="273"/>
    </row>
    <row r="277" spans="1:38" ht="28.5">
      <c r="A277" s="9"/>
      <c r="B277" s="260"/>
      <c r="C277" s="298" t="s">
        <v>387</v>
      </c>
      <c r="D277" s="294"/>
      <c r="E277" s="294"/>
      <c r="F277" s="267" t="s">
        <v>402</v>
      </c>
      <c r="G277" s="295" t="s">
        <v>437</v>
      </c>
      <c r="H277" s="295"/>
      <c r="J277" s="267" t="str">
        <f t="shared" si="22"/>
        <v>TUE:</v>
      </c>
      <c r="K277" s="295"/>
      <c r="L277" s="295"/>
      <c r="M277" s="296"/>
      <c r="N277" s="267" t="s">
        <v>402</v>
      </c>
      <c r="O277" s="295"/>
      <c r="P277" s="295"/>
      <c r="Q277" s="296"/>
      <c r="R277" s="267" t="s">
        <v>403</v>
      </c>
      <c r="S277" s="297"/>
      <c r="T277" s="297"/>
      <c r="U277" s="243"/>
      <c r="X277" s="273"/>
      <c r="Y277" s="273"/>
      <c r="Z277" s="273"/>
      <c r="AB277" s="273"/>
      <c r="AC277" s="273"/>
      <c r="AD277" s="273"/>
      <c r="AF277" s="273"/>
      <c r="AG277" s="273"/>
      <c r="AH277" s="273"/>
      <c r="AJ277" s="273"/>
      <c r="AK277" s="273"/>
      <c r="AL277" s="273"/>
    </row>
    <row r="278" spans="1:38">
      <c r="A278" s="9"/>
      <c r="B278" s="260"/>
      <c r="C278" s="298"/>
      <c r="D278" s="294"/>
      <c r="E278" s="294"/>
      <c r="F278" s="267" t="s">
        <v>407</v>
      </c>
      <c r="G278" s="295" t="s">
        <v>437</v>
      </c>
      <c r="H278" s="295"/>
      <c r="J278" s="267" t="str">
        <f t="shared" si="22"/>
        <v>WED:</v>
      </c>
      <c r="K278" s="295"/>
      <c r="L278" s="295"/>
      <c r="M278" s="296"/>
      <c r="N278" s="267" t="s">
        <v>407</v>
      </c>
      <c r="O278" s="295"/>
      <c r="P278" s="295"/>
      <c r="Q278" s="296"/>
      <c r="R278" s="267" t="s">
        <v>408</v>
      </c>
      <c r="S278" s="297"/>
      <c r="T278" s="297"/>
      <c r="U278" s="243"/>
      <c r="X278" s="273"/>
      <c r="Y278" s="273"/>
      <c r="Z278" s="273"/>
      <c r="AB278" s="273"/>
      <c r="AC278" s="273"/>
      <c r="AD278" s="273"/>
      <c r="AF278" s="273"/>
      <c r="AG278" s="273"/>
      <c r="AH278" s="273"/>
      <c r="AJ278" s="273"/>
      <c r="AK278" s="273"/>
      <c r="AL278" s="273"/>
    </row>
    <row r="279" spans="1:38" ht="24">
      <c r="A279" s="9"/>
      <c r="B279" s="260"/>
      <c r="C279" s="274" t="s">
        <v>410</v>
      </c>
      <c r="D279" s="294"/>
      <c r="E279" s="294"/>
      <c r="F279" s="267" t="s">
        <v>411</v>
      </c>
      <c r="G279" s="295" t="s">
        <v>437</v>
      </c>
      <c r="H279" s="295"/>
      <c r="J279" s="267" t="str">
        <f t="shared" si="22"/>
        <v>THU:</v>
      </c>
      <c r="K279" s="295"/>
      <c r="L279" s="295"/>
      <c r="M279" s="296"/>
      <c r="N279" s="267" t="s">
        <v>411</v>
      </c>
      <c r="O279" s="295"/>
      <c r="P279" s="295"/>
      <c r="Q279" s="296"/>
      <c r="R279" s="267" t="s">
        <v>412</v>
      </c>
      <c r="S279" s="297"/>
      <c r="T279" s="297"/>
      <c r="U279" s="243"/>
      <c r="X279" s="273"/>
      <c r="Y279" s="273"/>
      <c r="Z279" s="273"/>
      <c r="AB279" s="273"/>
      <c r="AC279" s="273"/>
      <c r="AD279" s="273"/>
      <c r="AF279" s="273"/>
      <c r="AG279" s="273"/>
      <c r="AH279" s="273"/>
      <c r="AJ279" s="273"/>
      <c r="AK279" s="273"/>
      <c r="AL279" s="273"/>
    </row>
    <row r="280" spans="1:38">
      <c r="A280" s="9"/>
      <c r="B280" s="260"/>
      <c r="C280" s="274"/>
      <c r="D280" s="294"/>
      <c r="E280" s="294"/>
      <c r="F280" s="267" t="s">
        <v>414</v>
      </c>
      <c r="G280" s="295" t="s">
        <v>437</v>
      </c>
      <c r="H280" s="295"/>
      <c r="J280" s="267" t="str">
        <f t="shared" si="22"/>
        <v>FRI:</v>
      </c>
      <c r="K280" s="295"/>
      <c r="L280" s="295"/>
      <c r="M280" s="296"/>
      <c r="N280" s="267" t="s">
        <v>414</v>
      </c>
      <c r="O280" s="295"/>
      <c r="P280" s="295"/>
      <c r="Q280" s="296"/>
      <c r="R280" s="267" t="s">
        <v>415</v>
      </c>
      <c r="S280" s="297"/>
      <c r="T280" s="297"/>
      <c r="U280" s="243"/>
      <c r="X280" s="273"/>
      <c r="Y280" s="273"/>
      <c r="Z280" s="273"/>
      <c r="AB280" s="273"/>
      <c r="AC280" s="273"/>
      <c r="AD280" s="273"/>
      <c r="AF280" s="273"/>
      <c r="AG280" s="273"/>
      <c r="AH280" s="273"/>
      <c r="AJ280" s="273"/>
      <c r="AK280" s="273"/>
      <c r="AL280" s="273"/>
    </row>
    <row r="281" spans="1:38">
      <c r="A281" s="9"/>
      <c r="B281" s="260"/>
      <c r="C281" s="238" t="str">
        <f>IF(AND(C277="Other",OR(D281=" ",D281="")),"Select Type →",IF(AND(NOT(C277="Other"),AND(NOT(D281=" "),NOT(D281=""))),"Deselect Type→",VLOOKUP(C277,$BL$6:$BM$19,2,0)))</f>
        <v>On/Off</v>
      </c>
      <c r="D281" s="299"/>
      <c r="E281" s="299"/>
      <c r="F281" s="267" t="s">
        <v>418</v>
      </c>
      <c r="G281" s="295" t="s">
        <v>437</v>
      </c>
      <c r="H281" s="295"/>
      <c r="J281" s="267" t="str">
        <f t="shared" si="22"/>
        <v>SAT:</v>
      </c>
      <c r="K281" s="295"/>
      <c r="L281" s="295"/>
      <c r="M281" s="296"/>
      <c r="N281" s="267" t="s">
        <v>418</v>
      </c>
      <c r="O281" s="295"/>
      <c r="P281" s="295"/>
      <c r="Q281" s="296"/>
      <c r="R281" s="267" t="s">
        <v>419</v>
      </c>
      <c r="S281" s="297"/>
      <c r="T281" s="297"/>
      <c r="U281" s="243"/>
      <c r="X281" s="273"/>
      <c r="Y281" s="273"/>
      <c r="Z281" s="273"/>
      <c r="AB281" s="273"/>
      <c r="AC281" s="273"/>
      <c r="AD281" s="273"/>
      <c r="AF281" s="273"/>
      <c r="AG281" s="273"/>
      <c r="AH281" s="273"/>
      <c r="AJ281" s="273"/>
      <c r="AK281" s="273"/>
      <c r="AL281" s="273"/>
    </row>
    <row r="282" spans="1:38">
      <c r="A282" s="9"/>
      <c r="B282" s="260"/>
      <c r="C282" s="238"/>
      <c r="D282" s="299"/>
      <c r="E282" s="299"/>
      <c r="F282" s="267" t="s">
        <v>421</v>
      </c>
      <c r="G282" s="295" t="s">
        <v>437</v>
      </c>
      <c r="H282" s="295"/>
      <c r="J282" s="267" t="str">
        <f t="shared" si="22"/>
        <v>HOL:</v>
      </c>
      <c r="K282" s="295"/>
      <c r="L282" s="295"/>
      <c r="M282" s="296"/>
      <c r="N282" s="267" t="s">
        <v>421</v>
      </c>
      <c r="O282" s="295"/>
      <c r="P282" s="295"/>
      <c r="Q282" s="296"/>
      <c r="R282" s="267" t="s">
        <v>391</v>
      </c>
      <c r="S282" s="297"/>
      <c r="T282" s="297"/>
      <c r="U282" s="243"/>
      <c r="X282" s="273"/>
      <c r="Y282" s="273"/>
      <c r="Z282" s="273"/>
      <c r="AB282" s="273"/>
      <c r="AC282" s="273"/>
      <c r="AD282" s="273"/>
      <c r="AF282" s="273"/>
      <c r="AG282" s="273"/>
      <c r="AH282" s="273"/>
      <c r="AJ282" s="273"/>
      <c r="AK282" s="273"/>
      <c r="AL282" s="273"/>
    </row>
    <row r="283" spans="1:38">
      <c r="A283" s="9"/>
      <c r="B283" s="260"/>
      <c r="C283" s="300"/>
      <c r="D283" s="300"/>
      <c r="E283" s="300"/>
      <c r="F283" s="267" t="s">
        <v>424</v>
      </c>
      <c r="G283" s="295" t="s">
        <v>438</v>
      </c>
      <c r="H283" s="295"/>
      <c r="J283" s="267" t="str">
        <f t="shared" si="22"/>
        <v>HDD:</v>
      </c>
      <c r="K283" s="295"/>
      <c r="L283" s="295"/>
      <c r="M283" s="296"/>
      <c r="N283" s="267" t="s">
        <v>424</v>
      </c>
      <c r="O283" s="295"/>
      <c r="P283" s="295"/>
      <c r="Q283" s="296"/>
      <c r="R283" s="267" t="s">
        <v>426</v>
      </c>
      <c r="S283" s="297"/>
      <c r="T283" s="297"/>
      <c r="U283" s="243"/>
    </row>
    <row r="284" spans="1:38">
      <c r="A284" s="9"/>
      <c r="B284" s="260"/>
      <c r="C284" s="300"/>
      <c r="D284" s="300"/>
      <c r="E284" s="300"/>
      <c r="F284" s="267" t="s">
        <v>429</v>
      </c>
      <c r="G284" s="295" t="s">
        <v>439</v>
      </c>
      <c r="H284" s="295"/>
      <c r="I284" s="296"/>
      <c r="J284" s="267" t="str">
        <f t="shared" si="22"/>
        <v>CDD:</v>
      </c>
      <c r="K284" s="295"/>
      <c r="L284" s="295"/>
      <c r="M284" s="296"/>
      <c r="N284" s="267" t="s">
        <v>429</v>
      </c>
      <c r="O284" s="295"/>
      <c r="P284" s="295"/>
      <c r="Q284" s="296"/>
      <c r="R284" s="267" t="s">
        <v>431</v>
      </c>
      <c r="S284" s="297"/>
      <c r="T284" s="297"/>
      <c r="U284" s="243"/>
    </row>
    <row r="285" spans="1:38">
      <c r="A285" s="9"/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43"/>
    </row>
    <row r="286" spans="1:38" ht="28.5">
      <c r="A286" s="9">
        <f>A272+1</f>
        <v>21</v>
      </c>
      <c r="B286" s="282" t="s">
        <v>376</v>
      </c>
      <c r="C286" s="287" t="s">
        <v>435</v>
      </c>
      <c r="D286" s="287"/>
      <c r="E286" s="287"/>
      <c r="F286" s="249" t="s">
        <v>378</v>
      </c>
      <c r="G286" s="288" t="s">
        <v>379</v>
      </c>
      <c r="H286" s="289">
        <v>1</v>
      </c>
      <c r="I286" s="289"/>
      <c r="J286" s="249" t="s">
        <v>378</v>
      </c>
      <c r="K286" s="290" t="str">
        <f>IF(AND(G287="December",H287=31)," ",IF(VLOOKUP(G287,D!$G$5:$I$16,3,0)=H287,LOOKUP(VLOOKUP(G287,D!$G$4:$H$16,2,0)+1,D!$H$4:$H$16,D!$G$4:$G$16),G287))</f>
        <v>January</v>
      </c>
      <c r="L286" s="289">
        <f>IF(K286=" "," ",IF(K286=G287,H287+1,1))</f>
        <v>29</v>
      </c>
      <c r="M286" s="289"/>
      <c r="N286" s="249" t="s">
        <v>378</v>
      </c>
      <c r="O286" s="288" t="str">
        <f>IF(OR(K287=" ",AND(K287="December",L287=31))," ",IF(VLOOKUP(K287,D!$G$5:$I$16,3,0)=L287,LOOKUP(VLOOKUP(K287,D!$G$4:$H$16,2,0)+1,D!$H$4:$H$16,D!$G$4:$G$16),K287))</f>
        <v>June</v>
      </c>
      <c r="P286" s="289">
        <f>IF(O286=" "," ",IF(O286=K287,L287+1,1))</f>
        <v>9</v>
      </c>
      <c r="Q286" s="289"/>
      <c r="R286" s="249" t="s">
        <v>378</v>
      </c>
      <c r="S286" s="288" t="str">
        <f>IF(OR(O287=" ",AND(O287="December",P287=31))," ",IF(VLOOKUP(O287,D!$G$5:$I$16,3,0)=P287,LOOKUP(VLOOKUP(O287,D!$G$4:$H$16,2,0)+1,D!$H$4:$H$16,D!$G$4:$G$16),O287))</f>
        <v>September</v>
      </c>
      <c r="T286" s="289">
        <f>IF(S286=" "," ",IF(S286=O287,P287+1,1))</f>
        <v>9</v>
      </c>
      <c r="U286" s="243"/>
    </row>
    <row r="287" spans="1:38" ht="28.5">
      <c r="A287" s="9"/>
      <c r="B287" s="282"/>
      <c r="C287" s="287"/>
      <c r="D287" s="287"/>
      <c r="E287" s="287"/>
      <c r="F287" s="255" t="s">
        <v>380</v>
      </c>
      <c r="G287" s="291" t="s">
        <v>379</v>
      </c>
      <c r="H287" s="292">
        <v>28</v>
      </c>
      <c r="I287" s="292"/>
      <c r="J287" s="255" t="s">
        <v>380</v>
      </c>
      <c r="K287" s="291" t="s">
        <v>383</v>
      </c>
      <c r="L287" s="292">
        <v>8</v>
      </c>
      <c r="M287" s="292"/>
      <c r="N287" s="255" t="s">
        <v>380</v>
      </c>
      <c r="O287" s="291" t="s">
        <v>436</v>
      </c>
      <c r="P287" s="292">
        <v>8</v>
      </c>
      <c r="Q287" s="292"/>
      <c r="R287" s="255" t="s">
        <v>380</v>
      </c>
      <c r="S287" s="291" t="s">
        <v>384</v>
      </c>
      <c r="T287" s="292">
        <v>31</v>
      </c>
      <c r="U287" s="243"/>
      <c r="X287" s="273"/>
      <c r="Y287" s="273"/>
      <c r="Z287" s="273"/>
      <c r="AB287" s="273"/>
      <c r="AC287" s="273"/>
      <c r="AD287" s="273"/>
      <c r="AF287" s="273"/>
      <c r="AG287" s="273"/>
      <c r="AH287" s="273"/>
      <c r="AJ287" s="273"/>
      <c r="AK287" s="273"/>
      <c r="AL287" s="273"/>
    </row>
    <row r="288" spans="1:38">
      <c r="A288" s="9"/>
      <c r="B288" s="260"/>
      <c r="C288" s="293" t="s">
        <v>395</v>
      </c>
      <c r="D288" s="294"/>
      <c r="E288" s="294"/>
      <c r="F288" s="262"/>
      <c r="G288" s="263" t="str">
        <f>IF(OR(H287&gt;VLOOKUP(G287,D!$G$4:$I$16,3,0),AND(G287=G286,H287&lt;=H286),VLOOKUP(G287,D!$G$4:$H$16,2,0)&lt;VLOOKUP(G286,D!$G$4:$H$16,2,0)),"Must correct date!","")</f>
        <v/>
      </c>
      <c r="H288" s="263"/>
      <c r="J288" s="262"/>
      <c r="K288" s="263" t="str">
        <f>IF(AND(K287=" ",K286=" "),"",IF(OR(L287&gt;VLOOKUP(K287,D!$G$4:$I$16,3,0),AND(K287=K286,L287&lt;=L286),VLOOKUP(K287,D!$G$4:$H$16,2,0)&lt;VLOOKUP(K286,D!$G$4:$H$16,2,0)),"Must correct date!",""))</f>
        <v/>
      </c>
      <c r="L288" s="263"/>
      <c r="N288" s="262"/>
      <c r="O288" s="263" t="str">
        <f>IF(AND(O287=" ",O286=" "),"",IF(OR(P287&gt;VLOOKUP(O287,D!$G$4:$I$16,3,0),AND(O287=O286,P287&lt;=P286),VLOOKUP(O287,D!$G$4:$H$16,2,0)&lt;VLOOKUP(O286,D!$G$4:$H$16,2,0)),"Must correct date!",""))</f>
        <v/>
      </c>
      <c r="P288" s="263"/>
      <c r="R288" s="262"/>
      <c r="S288" s="265" t="str">
        <f>IF(AND(S287=" ",S286=" "),"",IF(OR(T287&gt;VLOOKUP(S287,D!$G$4:$I$16,3,0),AND(S287=S286,T287&lt;=T286),VLOOKUP(S287,D!$G$4:$H$16,2,0)&lt;VLOOKUP(S286,D!$G$4:$H$16,2,0)),"Must correct date!",""))</f>
        <v/>
      </c>
      <c r="T288" s="265"/>
      <c r="U288" s="243"/>
      <c r="X288" s="273"/>
      <c r="Y288" s="273"/>
      <c r="Z288" s="273"/>
      <c r="AB288" s="273"/>
      <c r="AC288" s="273"/>
      <c r="AD288" s="273"/>
      <c r="AF288" s="273"/>
      <c r="AG288" s="273"/>
      <c r="AH288" s="273"/>
      <c r="AJ288" s="273"/>
      <c r="AK288" s="273"/>
      <c r="AL288" s="273"/>
    </row>
    <row r="289" spans="1:38">
      <c r="A289" s="9"/>
      <c r="B289" s="260"/>
      <c r="C289" s="293"/>
      <c r="D289" s="294"/>
      <c r="E289" s="294"/>
      <c r="F289" s="267" t="s">
        <v>389</v>
      </c>
      <c r="G289" s="295" t="s">
        <v>437</v>
      </c>
      <c r="H289" s="295"/>
      <c r="I289" s="296"/>
      <c r="J289" s="267" t="str">
        <f t="shared" ref="J289:J298" si="23">$F289</f>
        <v>SUN:</v>
      </c>
      <c r="K289" s="295"/>
      <c r="L289" s="295"/>
      <c r="M289" s="296"/>
      <c r="N289" s="267" t="s">
        <v>389</v>
      </c>
      <c r="O289" s="295"/>
      <c r="P289" s="295"/>
      <c r="Q289" s="296"/>
      <c r="R289" s="267" t="s">
        <v>391</v>
      </c>
      <c r="S289" s="297"/>
      <c r="T289" s="297"/>
      <c r="U289" s="243"/>
      <c r="X289" s="273"/>
      <c r="Y289" s="273"/>
      <c r="Z289" s="273"/>
      <c r="AB289" s="273"/>
      <c r="AC289" s="273"/>
      <c r="AD289" s="273"/>
      <c r="AF289" s="273"/>
      <c r="AG289" s="273"/>
      <c r="AH289" s="273"/>
      <c r="AJ289" s="273"/>
      <c r="AK289" s="273"/>
      <c r="AL289" s="273"/>
    </row>
    <row r="290" spans="1:38">
      <c r="A290" s="9"/>
      <c r="B290" s="260"/>
      <c r="C290" s="293"/>
      <c r="D290" s="294"/>
      <c r="E290" s="294"/>
      <c r="F290" s="267" t="s">
        <v>396</v>
      </c>
      <c r="G290" s="295" t="s">
        <v>437</v>
      </c>
      <c r="H290" s="295"/>
      <c r="J290" s="267" t="str">
        <f t="shared" si="23"/>
        <v>MON:</v>
      </c>
      <c r="K290" s="295"/>
      <c r="L290" s="295"/>
      <c r="M290" s="296"/>
      <c r="N290" s="267" t="s">
        <v>396</v>
      </c>
      <c r="O290" s="295"/>
      <c r="P290" s="295"/>
      <c r="Q290" s="296"/>
      <c r="R290" s="267" t="s">
        <v>397</v>
      </c>
      <c r="S290" s="297"/>
      <c r="T290" s="297"/>
      <c r="U290" s="243"/>
      <c r="X290" s="273"/>
      <c r="Y290" s="273"/>
      <c r="Z290" s="273"/>
      <c r="AB290" s="273"/>
      <c r="AC290" s="273"/>
      <c r="AD290" s="273"/>
      <c r="AF290" s="273"/>
      <c r="AG290" s="273"/>
      <c r="AH290" s="273"/>
      <c r="AJ290" s="273"/>
      <c r="AK290" s="273"/>
      <c r="AL290" s="273"/>
    </row>
    <row r="291" spans="1:38" ht="28.5">
      <c r="A291" s="9"/>
      <c r="B291" s="260"/>
      <c r="C291" s="298" t="s">
        <v>387</v>
      </c>
      <c r="D291" s="294"/>
      <c r="E291" s="294"/>
      <c r="F291" s="267" t="s">
        <v>402</v>
      </c>
      <c r="G291" s="295" t="s">
        <v>437</v>
      </c>
      <c r="H291" s="295"/>
      <c r="J291" s="267" t="str">
        <f t="shared" si="23"/>
        <v>TUE:</v>
      </c>
      <c r="K291" s="295"/>
      <c r="L291" s="295"/>
      <c r="M291" s="296"/>
      <c r="N291" s="267" t="s">
        <v>402</v>
      </c>
      <c r="O291" s="295"/>
      <c r="P291" s="295"/>
      <c r="Q291" s="296"/>
      <c r="R291" s="267" t="s">
        <v>403</v>
      </c>
      <c r="S291" s="297"/>
      <c r="T291" s="297"/>
      <c r="U291" s="243"/>
      <c r="X291" s="273"/>
      <c r="Y291" s="273"/>
      <c r="Z291" s="273"/>
      <c r="AB291" s="273"/>
      <c r="AC291" s="273"/>
      <c r="AD291" s="273"/>
      <c r="AF291" s="273"/>
      <c r="AG291" s="273"/>
      <c r="AH291" s="273"/>
      <c r="AJ291" s="273"/>
      <c r="AK291" s="273"/>
      <c r="AL291" s="273"/>
    </row>
    <row r="292" spans="1:38">
      <c r="A292" s="9"/>
      <c r="B292" s="260"/>
      <c r="C292" s="298"/>
      <c r="D292" s="294"/>
      <c r="E292" s="294"/>
      <c r="F292" s="267" t="s">
        <v>407</v>
      </c>
      <c r="G292" s="295" t="s">
        <v>437</v>
      </c>
      <c r="H292" s="295"/>
      <c r="J292" s="267" t="str">
        <f t="shared" si="23"/>
        <v>WED:</v>
      </c>
      <c r="K292" s="295"/>
      <c r="L292" s="295"/>
      <c r="M292" s="296"/>
      <c r="N292" s="267" t="s">
        <v>407</v>
      </c>
      <c r="O292" s="295"/>
      <c r="P292" s="295"/>
      <c r="Q292" s="296"/>
      <c r="R292" s="267" t="s">
        <v>408</v>
      </c>
      <c r="S292" s="297"/>
      <c r="T292" s="297"/>
      <c r="U292" s="243"/>
      <c r="X292" s="273"/>
      <c r="Y292" s="273"/>
      <c r="Z292" s="273"/>
      <c r="AB292" s="273"/>
      <c r="AC292" s="273"/>
      <c r="AD292" s="273"/>
      <c r="AF292" s="273"/>
      <c r="AG292" s="273"/>
      <c r="AH292" s="273"/>
      <c r="AJ292" s="273"/>
      <c r="AK292" s="273"/>
      <c r="AL292" s="273"/>
    </row>
    <row r="293" spans="1:38" ht="24">
      <c r="A293" s="9"/>
      <c r="B293" s="260"/>
      <c r="C293" s="274" t="s">
        <v>410</v>
      </c>
      <c r="D293" s="294"/>
      <c r="E293" s="294"/>
      <c r="F293" s="267" t="s">
        <v>411</v>
      </c>
      <c r="G293" s="295" t="s">
        <v>437</v>
      </c>
      <c r="H293" s="295"/>
      <c r="J293" s="267" t="str">
        <f t="shared" si="23"/>
        <v>THU:</v>
      </c>
      <c r="K293" s="295"/>
      <c r="L293" s="295"/>
      <c r="M293" s="296"/>
      <c r="N293" s="267" t="s">
        <v>411</v>
      </c>
      <c r="O293" s="295"/>
      <c r="P293" s="295"/>
      <c r="Q293" s="296"/>
      <c r="R293" s="267" t="s">
        <v>412</v>
      </c>
      <c r="S293" s="297"/>
      <c r="T293" s="297"/>
      <c r="U293" s="243"/>
      <c r="X293" s="273"/>
      <c r="Y293" s="273"/>
      <c r="Z293" s="273"/>
      <c r="AB293" s="273"/>
      <c r="AC293" s="273"/>
      <c r="AD293" s="273"/>
      <c r="AF293" s="273"/>
      <c r="AG293" s="273"/>
      <c r="AH293" s="273"/>
      <c r="AJ293" s="273"/>
      <c r="AK293" s="273"/>
      <c r="AL293" s="273"/>
    </row>
    <row r="294" spans="1:38">
      <c r="A294" s="9"/>
      <c r="B294" s="260"/>
      <c r="C294" s="274"/>
      <c r="D294" s="294"/>
      <c r="E294" s="294"/>
      <c r="F294" s="267" t="s">
        <v>414</v>
      </c>
      <c r="G294" s="295" t="s">
        <v>437</v>
      </c>
      <c r="H294" s="295"/>
      <c r="J294" s="267" t="str">
        <f t="shared" si="23"/>
        <v>FRI:</v>
      </c>
      <c r="K294" s="295"/>
      <c r="L294" s="295"/>
      <c r="M294" s="296"/>
      <c r="N294" s="267" t="s">
        <v>414</v>
      </c>
      <c r="O294" s="295"/>
      <c r="P294" s="295"/>
      <c r="Q294" s="296"/>
      <c r="R294" s="267" t="s">
        <v>415</v>
      </c>
      <c r="S294" s="297"/>
      <c r="T294" s="297"/>
      <c r="U294" s="243"/>
      <c r="X294" s="273"/>
      <c r="Y294" s="273"/>
      <c r="Z294" s="273"/>
      <c r="AB294" s="273"/>
      <c r="AC294" s="273"/>
      <c r="AD294" s="273"/>
      <c r="AF294" s="273"/>
      <c r="AG294" s="273"/>
      <c r="AH294" s="273"/>
      <c r="AJ294" s="273"/>
      <c r="AK294" s="273"/>
      <c r="AL294" s="273"/>
    </row>
    <row r="295" spans="1:38">
      <c r="A295" s="9"/>
      <c r="B295" s="260"/>
      <c r="C295" s="238" t="str">
        <f>IF(AND(C291="Other",OR(D295=" ",D295="")),"Select Type →",IF(AND(NOT(C291="Other"),AND(NOT(D295=" "),NOT(D295=""))),"Deselect Type→",VLOOKUP(C291,$BL$6:$BM$19,2,0)))</f>
        <v>On/Off</v>
      </c>
      <c r="D295" s="299"/>
      <c r="E295" s="299"/>
      <c r="F295" s="267" t="s">
        <v>418</v>
      </c>
      <c r="G295" s="295" t="s">
        <v>437</v>
      </c>
      <c r="H295" s="295"/>
      <c r="J295" s="267" t="str">
        <f t="shared" si="23"/>
        <v>SAT:</v>
      </c>
      <c r="K295" s="295"/>
      <c r="L295" s="295"/>
      <c r="M295" s="296"/>
      <c r="N295" s="267" t="s">
        <v>418</v>
      </c>
      <c r="O295" s="295"/>
      <c r="P295" s="295"/>
      <c r="Q295" s="296"/>
      <c r="R295" s="267" t="s">
        <v>419</v>
      </c>
      <c r="S295" s="297"/>
      <c r="T295" s="297"/>
      <c r="U295" s="243"/>
      <c r="X295" s="273"/>
      <c r="Y295" s="273"/>
      <c r="Z295" s="273"/>
      <c r="AB295" s="273"/>
      <c r="AC295" s="273"/>
      <c r="AD295" s="273"/>
      <c r="AF295" s="273"/>
      <c r="AG295" s="273"/>
      <c r="AH295" s="273"/>
      <c r="AJ295" s="273"/>
      <c r="AK295" s="273"/>
      <c r="AL295" s="273"/>
    </row>
    <row r="296" spans="1:38">
      <c r="A296" s="9"/>
      <c r="B296" s="260"/>
      <c r="C296" s="238"/>
      <c r="D296" s="299"/>
      <c r="E296" s="299"/>
      <c r="F296" s="267" t="s">
        <v>421</v>
      </c>
      <c r="G296" s="295" t="s">
        <v>437</v>
      </c>
      <c r="H296" s="295"/>
      <c r="J296" s="267" t="str">
        <f t="shared" si="23"/>
        <v>HOL:</v>
      </c>
      <c r="K296" s="295"/>
      <c r="L296" s="295"/>
      <c r="M296" s="296"/>
      <c r="N296" s="267" t="s">
        <v>421</v>
      </c>
      <c r="O296" s="295"/>
      <c r="P296" s="295"/>
      <c r="Q296" s="296"/>
      <c r="R296" s="267" t="s">
        <v>391</v>
      </c>
      <c r="S296" s="297"/>
      <c r="T296" s="297"/>
      <c r="U296" s="243"/>
      <c r="X296" s="273"/>
      <c r="Y296" s="273"/>
      <c r="Z296" s="273"/>
      <c r="AB296" s="273"/>
      <c r="AC296" s="273"/>
      <c r="AD296" s="273"/>
      <c r="AF296" s="273"/>
      <c r="AG296" s="273"/>
      <c r="AH296" s="273"/>
      <c r="AJ296" s="273"/>
      <c r="AK296" s="273"/>
      <c r="AL296" s="273"/>
    </row>
    <row r="297" spans="1:38">
      <c r="A297" s="9"/>
      <c r="B297" s="260"/>
      <c r="C297" s="300"/>
      <c r="D297" s="300"/>
      <c r="E297" s="300"/>
      <c r="F297" s="267" t="s">
        <v>424</v>
      </c>
      <c r="G297" s="295" t="s">
        <v>438</v>
      </c>
      <c r="H297" s="295"/>
      <c r="J297" s="267" t="str">
        <f t="shared" si="23"/>
        <v>HDD:</v>
      </c>
      <c r="K297" s="295"/>
      <c r="L297" s="295"/>
      <c r="M297" s="296"/>
      <c r="N297" s="267" t="s">
        <v>424</v>
      </c>
      <c r="O297" s="295"/>
      <c r="P297" s="295"/>
      <c r="Q297" s="296"/>
      <c r="R297" s="267" t="s">
        <v>426</v>
      </c>
      <c r="S297" s="297"/>
      <c r="T297" s="297"/>
      <c r="U297" s="243"/>
    </row>
    <row r="298" spans="1:38">
      <c r="A298" s="9"/>
      <c r="B298" s="260"/>
      <c r="C298" s="300"/>
      <c r="D298" s="300"/>
      <c r="E298" s="300"/>
      <c r="F298" s="267" t="s">
        <v>429</v>
      </c>
      <c r="G298" s="295" t="s">
        <v>439</v>
      </c>
      <c r="H298" s="295"/>
      <c r="I298" s="296"/>
      <c r="J298" s="267" t="str">
        <f t="shared" si="23"/>
        <v>CDD:</v>
      </c>
      <c r="K298" s="295"/>
      <c r="L298" s="295"/>
      <c r="M298" s="296"/>
      <c r="N298" s="267" t="s">
        <v>429</v>
      </c>
      <c r="O298" s="295"/>
      <c r="P298" s="295"/>
      <c r="Q298" s="296"/>
      <c r="R298" s="267" t="s">
        <v>431</v>
      </c>
      <c r="S298" s="297"/>
      <c r="T298" s="297"/>
      <c r="U298" s="243"/>
    </row>
    <row r="299" spans="1:38">
      <c r="A299" s="9"/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43"/>
    </row>
    <row r="300" spans="1:38" ht="28.5">
      <c r="A300" s="9">
        <f>A286+1</f>
        <v>22</v>
      </c>
      <c r="B300" s="282" t="s">
        <v>376</v>
      </c>
      <c r="C300" s="287" t="s">
        <v>435</v>
      </c>
      <c r="D300" s="287"/>
      <c r="E300" s="287"/>
      <c r="F300" s="249" t="s">
        <v>378</v>
      </c>
      <c r="G300" s="288" t="s">
        <v>379</v>
      </c>
      <c r="H300" s="289">
        <v>1</v>
      </c>
      <c r="I300" s="289"/>
      <c r="J300" s="249" t="s">
        <v>378</v>
      </c>
      <c r="K300" s="290" t="str">
        <f>IF(AND(G301="December",H301=31)," ",IF(VLOOKUP(G301,D!$G$5:$I$16,3,0)=H301,LOOKUP(VLOOKUP(G301,D!$G$4:$H$16,2,0)+1,D!$H$4:$H$16,D!$G$4:$G$16),G301))</f>
        <v>January</v>
      </c>
      <c r="L300" s="289">
        <f>IF(K300=" "," ",IF(K300=G301,H301+1,1))</f>
        <v>29</v>
      </c>
      <c r="M300" s="289"/>
      <c r="N300" s="249" t="s">
        <v>378</v>
      </c>
      <c r="O300" s="288" t="str">
        <f>IF(OR(K301=" ",AND(K301="December",L301=31))," ",IF(VLOOKUP(K301,D!$G$5:$I$16,3,0)=L301,LOOKUP(VLOOKUP(K301,D!$G$4:$H$16,2,0)+1,D!$H$4:$H$16,D!$G$4:$G$16),K301))</f>
        <v>June</v>
      </c>
      <c r="P300" s="289">
        <f>IF(O300=" "," ",IF(O300=K301,L301+1,1))</f>
        <v>9</v>
      </c>
      <c r="Q300" s="289"/>
      <c r="R300" s="249" t="s">
        <v>378</v>
      </c>
      <c r="S300" s="288" t="str">
        <f>IF(OR(O301=" ",AND(O301="December",P301=31))," ",IF(VLOOKUP(O301,D!$G$5:$I$16,3,0)=P301,LOOKUP(VLOOKUP(O301,D!$G$4:$H$16,2,0)+1,D!$H$4:$H$16,D!$G$4:$G$16),O301))</f>
        <v>September</v>
      </c>
      <c r="T300" s="289">
        <f>IF(S300=" "," ",IF(S300=O301,P301+1,1))</f>
        <v>9</v>
      </c>
      <c r="U300" s="243"/>
    </row>
    <row r="301" spans="1:38" ht="28.5">
      <c r="A301" s="9"/>
      <c r="B301" s="282"/>
      <c r="C301" s="287"/>
      <c r="D301" s="287"/>
      <c r="E301" s="287"/>
      <c r="F301" s="255" t="s">
        <v>380</v>
      </c>
      <c r="G301" s="291" t="s">
        <v>379</v>
      </c>
      <c r="H301" s="292">
        <v>28</v>
      </c>
      <c r="I301" s="292"/>
      <c r="J301" s="255" t="s">
        <v>380</v>
      </c>
      <c r="K301" s="291" t="s">
        <v>383</v>
      </c>
      <c r="L301" s="292">
        <v>8</v>
      </c>
      <c r="M301" s="292"/>
      <c r="N301" s="255" t="s">
        <v>380</v>
      </c>
      <c r="O301" s="291" t="s">
        <v>436</v>
      </c>
      <c r="P301" s="292">
        <v>8</v>
      </c>
      <c r="Q301" s="292"/>
      <c r="R301" s="255" t="s">
        <v>380</v>
      </c>
      <c r="S301" s="291" t="s">
        <v>384</v>
      </c>
      <c r="T301" s="292">
        <v>31</v>
      </c>
      <c r="U301" s="243"/>
      <c r="X301" s="273"/>
      <c r="Y301" s="273"/>
      <c r="Z301" s="273"/>
      <c r="AB301" s="273"/>
      <c r="AC301" s="273"/>
      <c r="AD301" s="273"/>
      <c r="AF301" s="273"/>
      <c r="AG301" s="273"/>
      <c r="AH301" s="273"/>
      <c r="AJ301" s="273"/>
      <c r="AK301" s="273"/>
      <c r="AL301" s="273"/>
    </row>
    <row r="302" spans="1:38">
      <c r="A302" s="9"/>
      <c r="B302" s="260"/>
      <c r="C302" s="293" t="s">
        <v>395</v>
      </c>
      <c r="D302" s="294"/>
      <c r="E302" s="294"/>
      <c r="F302" s="262"/>
      <c r="G302" s="263" t="str">
        <f>IF(OR(H301&gt;VLOOKUP(G301,D!$G$4:$I$16,3,0),AND(G301=G300,H301&lt;=H300),VLOOKUP(G301,D!$G$4:$H$16,2,0)&lt;VLOOKUP(G300,D!$G$4:$H$16,2,0)),"Must correct date!","")</f>
        <v/>
      </c>
      <c r="H302" s="263"/>
      <c r="J302" s="262"/>
      <c r="K302" s="263" t="str">
        <f>IF(AND(K301=" ",K300=" "),"",IF(OR(L301&gt;VLOOKUP(K301,D!$G$4:$I$16,3,0),AND(K301=K300,L301&lt;=L300),VLOOKUP(K301,D!$G$4:$H$16,2,0)&lt;VLOOKUP(K300,D!$G$4:$H$16,2,0)),"Must correct date!",""))</f>
        <v/>
      </c>
      <c r="L302" s="263"/>
      <c r="N302" s="262"/>
      <c r="O302" s="263" t="str">
        <f>IF(AND(O301=" ",O300=" "),"",IF(OR(P301&gt;VLOOKUP(O301,D!$G$4:$I$16,3,0),AND(O301=O300,P301&lt;=P300),VLOOKUP(O301,D!$G$4:$H$16,2,0)&lt;VLOOKUP(O300,D!$G$4:$H$16,2,0)),"Must correct date!",""))</f>
        <v/>
      </c>
      <c r="P302" s="263"/>
      <c r="R302" s="262"/>
      <c r="S302" s="265" t="str">
        <f>IF(AND(S301=" ",S300=" "),"",IF(OR(T301&gt;VLOOKUP(S301,D!$G$4:$I$16,3,0),AND(S301=S300,T301&lt;=T300),VLOOKUP(S301,D!$G$4:$H$16,2,0)&lt;VLOOKUP(S300,D!$G$4:$H$16,2,0)),"Must correct date!",""))</f>
        <v/>
      </c>
      <c r="T302" s="265"/>
      <c r="U302" s="243"/>
      <c r="X302" s="273"/>
      <c r="Y302" s="273"/>
      <c r="Z302" s="273"/>
      <c r="AB302" s="273"/>
      <c r="AC302" s="273"/>
      <c r="AD302" s="273"/>
      <c r="AF302" s="273"/>
      <c r="AG302" s="273"/>
      <c r="AH302" s="273"/>
      <c r="AJ302" s="273"/>
      <c r="AK302" s="273"/>
      <c r="AL302" s="273"/>
    </row>
    <row r="303" spans="1:38">
      <c r="A303" s="9"/>
      <c r="B303" s="260"/>
      <c r="C303" s="293"/>
      <c r="D303" s="294"/>
      <c r="E303" s="294"/>
      <c r="F303" s="267" t="s">
        <v>389</v>
      </c>
      <c r="G303" s="295" t="s">
        <v>437</v>
      </c>
      <c r="H303" s="295"/>
      <c r="I303" s="296"/>
      <c r="J303" s="267" t="str">
        <f t="shared" ref="J303:J312" si="24">$F303</f>
        <v>SUN:</v>
      </c>
      <c r="K303" s="295"/>
      <c r="L303" s="295"/>
      <c r="M303" s="296"/>
      <c r="N303" s="267" t="s">
        <v>389</v>
      </c>
      <c r="O303" s="295"/>
      <c r="P303" s="295"/>
      <c r="Q303" s="296"/>
      <c r="R303" s="267" t="s">
        <v>391</v>
      </c>
      <c r="S303" s="297"/>
      <c r="T303" s="297"/>
      <c r="U303" s="243"/>
      <c r="X303" s="273"/>
      <c r="Y303" s="273"/>
      <c r="Z303" s="273"/>
      <c r="AB303" s="273"/>
      <c r="AC303" s="273"/>
      <c r="AD303" s="273"/>
      <c r="AF303" s="273"/>
      <c r="AG303" s="273"/>
      <c r="AH303" s="273"/>
      <c r="AJ303" s="273"/>
      <c r="AK303" s="273"/>
      <c r="AL303" s="273"/>
    </row>
    <row r="304" spans="1:38">
      <c r="A304" s="9"/>
      <c r="B304" s="260"/>
      <c r="C304" s="293"/>
      <c r="D304" s="294"/>
      <c r="E304" s="294"/>
      <c r="F304" s="267" t="s">
        <v>396</v>
      </c>
      <c r="G304" s="295" t="s">
        <v>437</v>
      </c>
      <c r="H304" s="295"/>
      <c r="J304" s="267" t="str">
        <f t="shared" si="24"/>
        <v>MON:</v>
      </c>
      <c r="K304" s="295"/>
      <c r="L304" s="295"/>
      <c r="M304" s="296"/>
      <c r="N304" s="267" t="s">
        <v>396</v>
      </c>
      <c r="O304" s="295"/>
      <c r="P304" s="295"/>
      <c r="Q304" s="296"/>
      <c r="R304" s="267" t="s">
        <v>397</v>
      </c>
      <c r="S304" s="297"/>
      <c r="T304" s="297"/>
      <c r="U304" s="243"/>
      <c r="X304" s="273"/>
      <c r="Y304" s="273"/>
      <c r="Z304" s="273"/>
      <c r="AB304" s="273"/>
      <c r="AC304" s="273"/>
      <c r="AD304" s="273"/>
      <c r="AF304" s="273"/>
      <c r="AG304" s="273"/>
      <c r="AH304" s="273"/>
      <c r="AJ304" s="273"/>
      <c r="AK304" s="273"/>
      <c r="AL304" s="273"/>
    </row>
    <row r="305" spans="1:38" ht="28.5">
      <c r="A305" s="9"/>
      <c r="B305" s="260"/>
      <c r="C305" s="298" t="s">
        <v>387</v>
      </c>
      <c r="D305" s="294"/>
      <c r="E305" s="294"/>
      <c r="F305" s="267" t="s">
        <v>402</v>
      </c>
      <c r="G305" s="295" t="s">
        <v>437</v>
      </c>
      <c r="H305" s="295"/>
      <c r="J305" s="267" t="str">
        <f t="shared" si="24"/>
        <v>TUE:</v>
      </c>
      <c r="K305" s="295"/>
      <c r="L305" s="295"/>
      <c r="M305" s="296"/>
      <c r="N305" s="267" t="s">
        <v>402</v>
      </c>
      <c r="O305" s="295"/>
      <c r="P305" s="295"/>
      <c r="Q305" s="296"/>
      <c r="R305" s="267" t="s">
        <v>403</v>
      </c>
      <c r="S305" s="297"/>
      <c r="T305" s="297"/>
      <c r="U305" s="243"/>
      <c r="X305" s="273"/>
      <c r="Y305" s="273"/>
      <c r="Z305" s="273"/>
      <c r="AB305" s="273"/>
      <c r="AC305" s="273"/>
      <c r="AD305" s="273"/>
      <c r="AF305" s="273"/>
      <c r="AG305" s="273"/>
      <c r="AH305" s="273"/>
      <c r="AJ305" s="273"/>
      <c r="AK305" s="273"/>
      <c r="AL305" s="273"/>
    </row>
    <row r="306" spans="1:38">
      <c r="A306" s="9"/>
      <c r="B306" s="260"/>
      <c r="C306" s="298"/>
      <c r="D306" s="294"/>
      <c r="E306" s="294"/>
      <c r="F306" s="267" t="s">
        <v>407</v>
      </c>
      <c r="G306" s="295" t="s">
        <v>437</v>
      </c>
      <c r="H306" s="295"/>
      <c r="J306" s="267" t="str">
        <f t="shared" si="24"/>
        <v>WED:</v>
      </c>
      <c r="K306" s="295"/>
      <c r="L306" s="295"/>
      <c r="M306" s="296"/>
      <c r="N306" s="267" t="s">
        <v>407</v>
      </c>
      <c r="O306" s="295"/>
      <c r="P306" s="295"/>
      <c r="Q306" s="296"/>
      <c r="R306" s="267" t="s">
        <v>408</v>
      </c>
      <c r="S306" s="297"/>
      <c r="T306" s="297"/>
      <c r="U306" s="243"/>
      <c r="X306" s="273"/>
      <c r="Y306" s="273"/>
      <c r="Z306" s="273"/>
      <c r="AB306" s="273"/>
      <c r="AC306" s="273"/>
      <c r="AD306" s="273"/>
      <c r="AF306" s="273"/>
      <c r="AG306" s="273"/>
      <c r="AH306" s="273"/>
      <c r="AJ306" s="273"/>
      <c r="AK306" s="273"/>
      <c r="AL306" s="273"/>
    </row>
    <row r="307" spans="1:38" ht="24">
      <c r="A307" s="9"/>
      <c r="B307" s="260"/>
      <c r="C307" s="274" t="s">
        <v>410</v>
      </c>
      <c r="D307" s="294"/>
      <c r="E307" s="294"/>
      <c r="F307" s="267" t="s">
        <v>411</v>
      </c>
      <c r="G307" s="295" t="s">
        <v>437</v>
      </c>
      <c r="H307" s="295"/>
      <c r="J307" s="267" t="str">
        <f t="shared" si="24"/>
        <v>THU:</v>
      </c>
      <c r="K307" s="295"/>
      <c r="L307" s="295"/>
      <c r="M307" s="296"/>
      <c r="N307" s="267" t="s">
        <v>411</v>
      </c>
      <c r="O307" s="295"/>
      <c r="P307" s="295"/>
      <c r="Q307" s="296"/>
      <c r="R307" s="267" t="s">
        <v>412</v>
      </c>
      <c r="S307" s="297"/>
      <c r="T307" s="297"/>
      <c r="U307" s="243"/>
      <c r="X307" s="273"/>
      <c r="Y307" s="273"/>
      <c r="Z307" s="273"/>
      <c r="AB307" s="273"/>
      <c r="AC307" s="273"/>
      <c r="AD307" s="273"/>
      <c r="AF307" s="273"/>
      <c r="AG307" s="273"/>
      <c r="AH307" s="273"/>
      <c r="AJ307" s="273"/>
      <c r="AK307" s="273"/>
      <c r="AL307" s="273"/>
    </row>
    <row r="308" spans="1:38">
      <c r="A308" s="9"/>
      <c r="B308" s="260"/>
      <c r="C308" s="274"/>
      <c r="D308" s="294"/>
      <c r="E308" s="294"/>
      <c r="F308" s="267" t="s">
        <v>414</v>
      </c>
      <c r="G308" s="295" t="s">
        <v>437</v>
      </c>
      <c r="H308" s="295"/>
      <c r="J308" s="267" t="str">
        <f t="shared" si="24"/>
        <v>FRI:</v>
      </c>
      <c r="K308" s="295"/>
      <c r="L308" s="295"/>
      <c r="M308" s="296"/>
      <c r="N308" s="267" t="s">
        <v>414</v>
      </c>
      <c r="O308" s="295"/>
      <c r="P308" s="295"/>
      <c r="Q308" s="296"/>
      <c r="R308" s="267" t="s">
        <v>415</v>
      </c>
      <c r="S308" s="297"/>
      <c r="T308" s="297"/>
      <c r="U308" s="243"/>
      <c r="X308" s="273"/>
      <c r="Y308" s="273"/>
      <c r="Z308" s="273"/>
      <c r="AB308" s="273"/>
      <c r="AC308" s="273"/>
      <c r="AD308" s="273"/>
      <c r="AF308" s="273"/>
      <c r="AG308" s="273"/>
      <c r="AH308" s="273"/>
      <c r="AJ308" s="273"/>
      <c r="AK308" s="273"/>
      <c r="AL308" s="273"/>
    </row>
    <row r="309" spans="1:38">
      <c r="A309" s="9"/>
      <c r="B309" s="260"/>
      <c r="C309" s="238" t="str">
        <f>IF(AND(C305="Other",OR(D309=" ",D309="")),"Select Type →",IF(AND(NOT(C305="Other"),AND(NOT(D309=" "),NOT(D309=""))),"Deselect Type→",VLOOKUP(C305,$BL$6:$BM$19,2,0)))</f>
        <v>On/Off</v>
      </c>
      <c r="D309" s="299"/>
      <c r="E309" s="299"/>
      <c r="F309" s="267" t="s">
        <v>418</v>
      </c>
      <c r="G309" s="295" t="s">
        <v>437</v>
      </c>
      <c r="H309" s="295"/>
      <c r="J309" s="267" t="str">
        <f t="shared" si="24"/>
        <v>SAT:</v>
      </c>
      <c r="K309" s="295"/>
      <c r="L309" s="295"/>
      <c r="M309" s="296"/>
      <c r="N309" s="267" t="s">
        <v>418</v>
      </c>
      <c r="O309" s="295"/>
      <c r="P309" s="295"/>
      <c r="Q309" s="296"/>
      <c r="R309" s="267" t="s">
        <v>419</v>
      </c>
      <c r="S309" s="297"/>
      <c r="T309" s="297"/>
      <c r="U309" s="243"/>
      <c r="X309" s="273"/>
      <c r="Y309" s="273"/>
      <c r="Z309" s="273"/>
      <c r="AB309" s="273"/>
      <c r="AC309" s="273"/>
      <c r="AD309" s="273"/>
      <c r="AF309" s="273"/>
      <c r="AG309" s="273"/>
      <c r="AH309" s="273"/>
      <c r="AJ309" s="273"/>
      <c r="AK309" s="273"/>
      <c r="AL309" s="273"/>
    </row>
    <row r="310" spans="1:38">
      <c r="A310" s="9"/>
      <c r="B310" s="260"/>
      <c r="C310" s="238"/>
      <c r="D310" s="299"/>
      <c r="E310" s="299"/>
      <c r="F310" s="267" t="s">
        <v>421</v>
      </c>
      <c r="G310" s="295" t="s">
        <v>437</v>
      </c>
      <c r="H310" s="295"/>
      <c r="J310" s="267" t="str">
        <f t="shared" si="24"/>
        <v>HOL:</v>
      </c>
      <c r="K310" s="295"/>
      <c r="L310" s="295"/>
      <c r="M310" s="296"/>
      <c r="N310" s="267" t="s">
        <v>421</v>
      </c>
      <c r="O310" s="295"/>
      <c r="P310" s="295"/>
      <c r="Q310" s="296"/>
      <c r="R310" s="267" t="s">
        <v>391</v>
      </c>
      <c r="S310" s="297"/>
      <c r="T310" s="297"/>
      <c r="U310" s="243"/>
      <c r="X310" s="273"/>
      <c r="Y310" s="273"/>
      <c r="Z310" s="273"/>
      <c r="AB310" s="273"/>
      <c r="AC310" s="273"/>
      <c r="AD310" s="273"/>
      <c r="AF310" s="273"/>
      <c r="AG310" s="273"/>
      <c r="AH310" s="273"/>
      <c r="AJ310" s="273"/>
      <c r="AK310" s="273"/>
      <c r="AL310" s="273"/>
    </row>
    <row r="311" spans="1:38">
      <c r="A311" s="9"/>
      <c r="B311" s="260"/>
      <c r="C311" s="300"/>
      <c r="D311" s="300"/>
      <c r="E311" s="300"/>
      <c r="F311" s="267" t="s">
        <v>424</v>
      </c>
      <c r="G311" s="295" t="s">
        <v>438</v>
      </c>
      <c r="H311" s="295"/>
      <c r="J311" s="267" t="str">
        <f t="shared" si="24"/>
        <v>HDD:</v>
      </c>
      <c r="K311" s="295"/>
      <c r="L311" s="295"/>
      <c r="M311" s="296"/>
      <c r="N311" s="267" t="s">
        <v>424</v>
      </c>
      <c r="O311" s="295"/>
      <c r="P311" s="295"/>
      <c r="Q311" s="296"/>
      <c r="R311" s="267" t="s">
        <v>426</v>
      </c>
      <c r="S311" s="297"/>
      <c r="T311" s="297"/>
      <c r="U311" s="243"/>
    </row>
    <row r="312" spans="1:38">
      <c r="A312" s="9"/>
      <c r="B312" s="260"/>
      <c r="C312" s="300"/>
      <c r="D312" s="300"/>
      <c r="E312" s="300"/>
      <c r="F312" s="267" t="s">
        <v>429</v>
      </c>
      <c r="G312" s="295" t="s">
        <v>439</v>
      </c>
      <c r="H312" s="295"/>
      <c r="I312" s="296"/>
      <c r="J312" s="267" t="str">
        <f t="shared" si="24"/>
        <v>CDD:</v>
      </c>
      <c r="K312" s="295"/>
      <c r="L312" s="295"/>
      <c r="M312" s="296"/>
      <c r="N312" s="267" t="s">
        <v>429</v>
      </c>
      <c r="O312" s="295"/>
      <c r="P312" s="295"/>
      <c r="Q312" s="296"/>
      <c r="R312" s="267" t="s">
        <v>431</v>
      </c>
      <c r="S312" s="297"/>
      <c r="T312" s="297"/>
      <c r="U312" s="243"/>
    </row>
    <row r="313" spans="1:38">
      <c r="A313" s="9"/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43"/>
    </row>
    <row r="314" spans="1:38" ht="28.5">
      <c r="A314" s="9">
        <f>A300+1</f>
        <v>23</v>
      </c>
      <c r="B314" s="282" t="s">
        <v>376</v>
      </c>
      <c r="C314" s="287" t="s">
        <v>435</v>
      </c>
      <c r="D314" s="287"/>
      <c r="E314" s="287"/>
      <c r="F314" s="249" t="s">
        <v>378</v>
      </c>
      <c r="G314" s="288" t="s">
        <v>379</v>
      </c>
      <c r="H314" s="289">
        <v>1</v>
      </c>
      <c r="I314" s="289"/>
      <c r="J314" s="249" t="s">
        <v>378</v>
      </c>
      <c r="K314" s="290" t="str">
        <f>IF(AND(G315="December",H315=31)," ",IF(VLOOKUP(G315,D!$G$5:$I$16,3,0)=H315,LOOKUP(VLOOKUP(G315,D!$G$4:$H$16,2,0)+1,D!$H$4:$H$16,D!$G$4:$G$16),G315))</f>
        <v>January</v>
      </c>
      <c r="L314" s="289">
        <f>IF(K314=" "," ",IF(K314=G315,H315+1,1))</f>
        <v>29</v>
      </c>
      <c r="M314" s="289"/>
      <c r="N314" s="249" t="s">
        <v>378</v>
      </c>
      <c r="O314" s="288" t="str">
        <f>IF(OR(K315=" ",AND(K315="December",L315=31))," ",IF(VLOOKUP(K315,D!$G$5:$I$16,3,0)=L315,LOOKUP(VLOOKUP(K315,D!$G$4:$H$16,2,0)+1,D!$H$4:$H$16,D!$G$4:$G$16),K315))</f>
        <v>June</v>
      </c>
      <c r="P314" s="289">
        <f>IF(O314=" "," ",IF(O314=K315,L315+1,1))</f>
        <v>9</v>
      </c>
      <c r="Q314" s="289"/>
      <c r="R314" s="249" t="s">
        <v>378</v>
      </c>
      <c r="S314" s="288" t="str">
        <f>IF(OR(O315=" ",AND(O315="December",P315=31))," ",IF(VLOOKUP(O315,D!$G$5:$I$16,3,0)=P315,LOOKUP(VLOOKUP(O315,D!$G$4:$H$16,2,0)+1,D!$H$4:$H$16,D!$G$4:$G$16),O315))</f>
        <v>September</v>
      </c>
      <c r="T314" s="289">
        <f>IF(S314=" "," ",IF(S314=O315,P315+1,1))</f>
        <v>9</v>
      </c>
      <c r="U314" s="243"/>
    </row>
    <row r="315" spans="1:38" ht="28.5">
      <c r="A315" s="9"/>
      <c r="B315" s="282"/>
      <c r="C315" s="287"/>
      <c r="D315" s="287"/>
      <c r="E315" s="287"/>
      <c r="F315" s="255" t="s">
        <v>380</v>
      </c>
      <c r="G315" s="291" t="s">
        <v>379</v>
      </c>
      <c r="H315" s="292">
        <v>28</v>
      </c>
      <c r="I315" s="292"/>
      <c r="J315" s="255" t="s">
        <v>380</v>
      </c>
      <c r="K315" s="291" t="s">
        <v>383</v>
      </c>
      <c r="L315" s="292">
        <v>8</v>
      </c>
      <c r="M315" s="292"/>
      <c r="N315" s="255" t="s">
        <v>380</v>
      </c>
      <c r="O315" s="291" t="s">
        <v>436</v>
      </c>
      <c r="P315" s="292">
        <v>8</v>
      </c>
      <c r="Q315" s="292"/>
      <c r="R315" s="255" t="s">
        <v>380</v>
      </c>
      <c r="S315" s="291" t="s">
        <v>384</v>
      </c>
      <c r="T315" s="292">
        <v>31</v>
      </c>
      <c r="U315" s="243"/>
      <c r="X315" s="273"/>
      <c r="Y315" s="273"/>
      <c r="Z315" s="273"/>
      <c r="AB315" s="273"/>
      <c r="AC315" s="273"/>
      <c r="AD315" s="273"/>
      <c r="AF315" s="273"/>
      <c r="AG315" s="273"/>
      <c r="AH315" s="273"/>
      <c r="AJ315" s="273"/>
      <c r="AK315" s="273"/>
      <c r="AL315" s="273"/>
    </row>
    <row r="316" spans="1:38">
      <c r="A316" s="9"/>
      <c r="B316" s="260"/>
      <c r="C316" s="293" t="s">
        <v>395</v>
      </c>
      <c r="D316" s="294"/>
      <c r="E316" s="294"/>
      <c r="F316" s="262"/>
      <c r="G316" s="263" t="str">
        <f>IF(OR(H315&gt;VLOOKUP(G315,D!$G$4:$I$16,3,0),AND(G315=G314,H315&lt;=H314),VLOOKUP(G315,D!$G$4:$H$16,2,0)&lt;VLOOKUP(G314,D!$G$4:$H$16,2,0)),"Must correct date!","")</f>
        <v/>
      </c>
      <c r="H316" s="263"/>
      <c r="J316" s="262"/>
      <c r="K316" s="263" t="str">
        <f>IF(AND(K315=" ",K314=" "),"",IF(OR(L315&gt;VLOOKUP(K315,D!$G$4:$I$16,3,0),AND(K315=K314,L315&lt;=L314),VLOOKUP(K315,D!$G$4:$H$16,2,0)&lt;VLOOKUP(K314,D!$G$4:$H$16,2,0)),"Must correct date!",""))</f>
        <v/>
      </c>
      <c r="L316" s="263"/>
      <c r="N316" s="262"/>
      <c r="O316" s="263" t="str">
        <f>IF(AND(O315=" ",O314=" "),"",IF(OR(P315&gt;VLOOKUP(O315,D!$G$4:$I$16,3,0),AND(O315=O314,P315&lt;=P314),VLOOKUP(O315,D!$G$4:$H$16,2,0)&lt;VLOOKUP(O314,D!$G$4:$H$16,2,0)),"Must correct date!",""))</f>
        <v/>
      </c>
      <c r="P316" s="263"/>
      <c r="R316" s="262"/>
      <c r="S316" s="265" t="str">
        <f>IF(AND(S315=" ",S314=" "),"",IF(OR(T315&gt;VLOOKUP(S315,D!$G$4:$I$16,3,0),AND(S315=S314,T315&lt;=T314),VLOOKUP(S315,D!$G$4:$H$16,2,0)&lt;VLOOKUP(S314,D!$G$4:$H$16,2,0)),"Must correct date!",""))</f>
        <v/>
      </c>
      <c r="T316" s="265"/>
      <c r="U316" s="243"/>
      <c r="X316" s="273"/>
      <c r="Y316" s="273"/>
      <c r="Z316" s="273"/>
      <c r="AB316" s="273"/>
      <c r="AC316" s="273"/>
      <c r="AD316" s="273"/>
      <c r="AF316" s="273"/>
      <c r="AG316" s="273"/>
      <c r="AH316" s="273"/>
      <c r="AJ316" s="273"/>
      <c r="AK316" s="273"/>
      <c r="AL316" s="273"/>
    </row>
    <row r="317" spans="1:38">
      <c r="A317" s="9"/>
      <c r="B317" s="260"/>
      <c r="C317" s="293"/>
      <c r="D317" s="294"/>
      <c r="E317" s="294"/>
      <c r="F317" s="267" t="s">
        <v>389</v>
      </c>
      <c r="G317" s="295" t="s">
        <v>437</v>
      </c>
      <c r="H317" s="295"/>
      <c r="I317" s="296"/>
      <c r="J317" s="267" t="str">
        <f t="shared" ref="J317:J326" si="25">$F317</f>
        <v>SUN:</v>
      </c>
      <c r="K317" s="295"/>
      <c r="L317" s="295"/>
      <c r="M317" s="296"/>
      <c r="N317" s="267" t="s">
        <v>389</v>
      </c>
      <c r="O317" s="295"/>
      <c r="P317" s="295"/>
      <c r="Q317" s="296"/>
      <c r="R317" s="267" t="s">
        <v>391</v>
      </c>
      <c r="S317" s="297"/>
      <c r="T317" s="297"/>
      <c r="U317" s="243"/>
      <c r="X317" s="273"/>
      <c r="Y317" s="273"/>
      <c r="Z317" s="273"/>
      <c r="AB317" s="273"/>
      <c r="AC317" s="273"/>
      <c r="AD317" s="273"/>
      <c r="AF317" s="273"/>
      <c r="AG317" s="273"/>
      <c r="AH317" s="273"/>
      <c r="AJ317" s="273"/>
      <c r="AK317" s="273"/>
      <c r="AL317" s="273"/>
    </row>
    <row r="318" spans="1:38">
      <c r="A318" s="9"/>
      <c r="B318" s="260"/>
      <c r="C318" s="293"/>
      <c r="D318" s="294"/>
      <c r="E318" s="294"/>
      <c r="F318" s="267" t="s">
        <v>396</v>
      </c>
      <c r="G318" s="295" t="s">
        <v>437</v>
      </c>
      <c r="H318" s="295"/>
      <c r="J318" s="267" t="str">
        <f t="shared" si="25"/>
        <v>MON:</v>
      </c>
      <c r="K318" s="295"/>
      <c r="L318" s="295"/>
      <c r="M318" s="296"/>
      <c r="N318" s="267" t="s">
        <v>396</v>
      </c>
      <c r="O318" s="295"/>
      <c r="P318" s="295"/>
      <c r="Q318" s="296"/>
      <c r="R318" s="267" t="s">
        <v>397</v>
      </c>
      <c r="S318" s="297"/>
      <c r="T318" s="297"/>
      <c r="U318" s="243"/>
      <c r="X318" s="273"/>
      <c r="Y318" s="273"/>
      <c r="Z318" s="273"/>
      <c r="AB318" s="273"/>
      <c r="AC318" s="273"/>
      <c r="AD318" s="273"/>
      <c r="AF318" s="273"/>
      <c r="AG318" s="273"/>
      <c r="AH318" s="273"/>
      <c r="AJ318" s="273"/>
      <c r="AK318" s="273"/>
      <c r="AL318" s="273"/>
    </row>
    <row r="319" spans="1:38" ht="28.5">
      <c r="A319" s="9"/>
      <c r="B319" s="260"/>
      <c r="C319" s="298" t="s">
        <v>387</v>
      </c>
      <c r="D319" s="294"/>
      <c r="E319" s="294"/>
      <c r="F319" s="267" t="s">
        <v>402</v>
      </c>
      <c r="G319" s="295" t="s">
        <v>437</v>
      </c>
      <c r="H319" s="295"/>
      <c r="J319" s="267" t="str">
        <f t="shared" si="25"/>
        <v>TUE:</v>
      </c>
      <c r="K319" s="295"/>
      <c r="L319" s="295"/>
      <c r="M319" s="296"/>
      <c r="N319" s="267" t="s">
        <v>402</v>
      </c>
      <c r="O319" s="295"/>
      <c r="P319" s="295"/>
      <c r="Q319" s="296"/>
      <c r="R319" s="267" t="s">
        <v>403</v>
      </c>
      <c r="S319" s="297"/>
      <c r="T319" s="297"/>
      <c r="U319" s="243"/>
      <c r="X319" s="273"/>
      <c r="Y319" s="273"/>
      <c r="Z319" s="273"/>
      <c r="AB319" s="273"/>
      <c r="AC319" s="273"/>
      <c r="AD319" s="273"/>
      <c r="AF319" s="273"/>
      <c r="AG319" s="273"/>
      <c r="AH319" s="273"/>
      <c r="AJ319" s="273"/>
      <c r="AK319" s="273"/>
      <c r="AL319" s="273"/>
    </row>
    <row r="320" spans="1:38">
      <c r="A320" s="9"/>
      <c r="B320" s="260"/>
      <c r="C320" s="298"/>
      <c r="D320" s="294"/>
      <c r="E320" s="294"/>
      <c r="F320" s="267" t="s">
        <v>407</v>
      </c>
      <c r="G320" s="295" t="s">
        <v>437</v>
      </c>
      <c r="H320" s="295"/>
      <c r="J320" s="267" t="str">
        <f t="shared" si="25"/>
        <v>WED:</v>
      </c>
      <c r="K320" s="295"/>
      <c r="L320" s="295"/>
      <c r="M320" s="296"/>
      <c r="N320" s="267" t="s">
        <v>407</v>
      </c>
      <c r="O320" s="295"/>
      <c r="P320" s="295"/>
      <c r="Q320" s="296"/>
      <c r="R320" s="267" t="s">
        <v>408</v>
      </c>
      <c r="S320" s="297"/>
      <c r="T320" s="297"/>
      <c r="U320" s="243"/>
      <c r="X320" s="273"/>
      <c r="Y320" s="273"/>
      <c r="Z320" s="273"/>
      <c r="AB320" s="273"/>
      <c r="AC320" s="273"/>
      <c r="AD320" s="273"/>
      <c r="AF320" s="273"/>
      <c r="AG320" s="273"/>
      <c r="AH320" s="273"/>
      <c r="AJ320" s="273"/>
      <c r="AK320" s="273"/>
      <c r="AL320" s="273"/>
    </row>
    <row r="321" spans="1:38" ht="24">
      <c r="A321" s="9"/>
      <c r="B321" s="260"/>
      <c r="C321" s="274" t="s">
        <v>410</v>
      </c>
      <c r="D321" s="294"/>
      <c r="E321" s="294"/>
      <c r="F321" s="267" t="s">
        <v>411</v>
      </c>
      <c r="G321" s="295" t="s">
        <v>437</v>
      </c>
      <c r="H321" s="295"/>
      <c r="J321" s="267" t="str">
        <f t="shared" si="25"/>
        <v>THU:</v>
      </c>
      <c r="K321" s="295"/>
      <c r="L321" s="295"/>
      <c r="M321" s="296"/>
      <c r="N321" s="267" t="s">
        <v>411</v>
      </c>
      <c r="O321" s="295"/>
      <c r="P321" s="295"/>
      <c r="Q321" s="296"/>
      <c r="R321" s="267" t="s">
        <v>412</v>
      </c>
      <c r="S321" s="297"/>
      <c r="T321" s="297"/>
      <c r="U321" s="243"/>
      <c r="X321" s="273"/>
      <c r="Y321" s="273"/>
      <c r="Z321" s="273"/>
      <c r="AB321" s="273"/>
      <c r="AC321" s="273"/>
      <c r="AD321" s="273"/>
      <c r="AF321" s="273"/>
      <c r="AG321" s="273"/>
      <c r="AH321" s="273"/>
      <c r="AJ321" s="273"/>
      <c r="AK321" s="273"/>
      <c r="AL321" s="273"/>
    </row>
    <row r="322" spans="1:38">
      <c r="A322" s="9"/>
      <c r="B322" s="260"/>
      <c r="C322" s="274"/>
      <c r="D322" s="294"/>
      <c r="E322" s="294"/>
      <c r="F322" s="267" t="s">
        <v>414</v>
      </c>
      <c r="G322" s="295" t="s">
        <v>437</v>
      </c>
      <c r="H322" s="295"/>
      <c r="J322" s="267" t="str">
        <f t="shared" si="25"/>
        <v>FRI:</v>
      </c>
      <c r="K322" s="295"/>
      <c r="L322" s="295"/>
      <c r="M322" s="296"/>
      <c r="N322" s="267" t="s">
        <v>414</v>
      </c>
      <c r="O322" s="295"/>
      <c r="P322" s="295"/>
      <c r="Q322" s="296"/>
      <c r="R322" s="267" t="s">
        <v>415</v>
      </c>
      <c r="S322" s="297"/>
      <c r="T322" s="297"/>
      <c r="U322" s="243"/>
      <c r="X322" s="273"/>
      <c r="Y322" s="273"/>
      <c r="Z322" s="273"/>
      <c r="AB322" s="273"/>
      <c r="AC322" s="273"/>
      <c r="AD322" s="273"/>
      <c r="AF322" s="273"/>
      <c r="AG322" s="273"/>
      <c r="AH322" s="273"/>
      <c r="AJ322" s="273"/>
      <c r="AK322" s="273"/>
      <c r="AL322" s="273"/>
    </row>
    <row r="323" spans="1:38">
      <c r="A323" s="9"/>
      <c r="B323" s="260"/>
      <c r="C323" s="238" t="str">
        <f>IF(AND(C319="Other",OR(D323=" ",D323="")),"Select Type →",IF(AND(NOT(C319="Other"),AND(NOT(D323=" "),NOT(D323=""))),"Deselect Type→",VLOOKUP(C319,$BL$6:$BM$19,2,0)))</f>
        <v>On/Off</v>
      </c>
      <c r="D323" s="299"/>
      <c r="E323" s="299"/>
      <c r="F323" s="267" t="s">
        <v>418</v>
      </c>
      <c r="G323" s="295" t="s">
        <v>437</v>
      </c>
      <c r="H323" s="295"/>
      <c r="J323" s="267" t="str">
        <f t="shared" si="25"/>
        <v>SAT:</v>
      </c>
      <c r="K323" s="295"/>
      <c r="L323" s="295"/>
      <c r="M323" s="296"/>
      <c r="N323" s="267" t="s">
        <v>418</v>
      </c>
      <c r="O323" s="295"/>
      <c r="P323" s="295"/>
      <c r="Q323" s="296"/>
      <c r="R323" s="267" t="s">
        <v>419</v>
      </c>
      <c r="S323" s="297"/>
      <c r="T323" s="297"/>
      <c r="U323" s="243"/>
      <c r="X323" s="273"/>
      <c r="Y323" s="273"/>
      <c r="Z323" s="273"/>
      <c r="AB323" s="273"/>
      <c r="AC323" s="273"/>
      <c r="AD323" s="273"/>
      <c r="AF323" s="273"/>
      <c r="AG323" s="273"/>
      <c r="AH323" s="273"/>
      <c r="AJ323" s="273"/>
      <c r="AK323" s="273"/>
      <c r="AL323" s="273"/>
    </row>
    <row r="324" spans="1:38">
      <c r="A324" s="9"/>
      <c r="B324" s="260"/>
      <c r="C324" s="238"/>
      <c r="D324" s="299"/>
      <c r="E324" s="299"/>
      <c r="F324" s="267" t="s">
        <v>421</v>
      </c>
      <c r="G324" s="295" t="s">
        <v>437</v>
      </c>
      <c r="H324" s="295"/>
      <c r="J324" s="267" t="str">
        <f t="shared" si="25"/>
        <v>HOL:</v>
      </c>
      <c r="K324" s="295"/>
      <c r="L324" s="295"/>
      <c r="M324" s="296"/>
      <c r="N324" s="267" t="s">
        <v>421</v>
      </c>
      <c r="O324" s="295"/>
      <c r="P324" s="295"/>
      <c r="Q324" s="296"/>
      <c r="R324" s="267" t="s">
        <v>391</v>
      </c>
      <c r="S324" s="297"/>
      <c r="T324" s="297"/>
      <c r="U324" s="243"/>
      <c r="X324" s="273"/>
      <c r="Y324" s="273"/>
      <c r="Z324" s="273"/>
      <c r="AB324" s="273"/>
      <c r="AC324" s="273"/>
      <c r="AD324" s="273"/>
      <c r="AF324" s="273"/>
      <c r="AG324" s="273"/>
      <c r="AH324" s="273"/>
      <c r="AJ324" s="273"/>
      <c r="AK324" s="273"/>
      <c r="AL324" s="273"/>
    </row>
    <row r="325" spans="1:38">
      <c r="A325" s="9"/>
      <c r="B325" s="260"/>
      <c r="C325" s="300"/>
      <c r="D325" s="300"/>
      <c r="E325" s="300"/>
      <c r="F325" s="267" t="s">
        <v>424</v>
      </c>
      <c r="G325" s="295" t="s">
        <v>438</v>
      </c>
      <c r="H325" s="295"/>
      <c r="J325" s="267" t="str">
        <f t="shared" si="25"/>
        <v>HDD:</v>
      </c>
      <c r="K325" s="295"/>
      <c r="L325" s="295"/>
      <c r="M325" s="296"/>
      <c r="N325" s="267" t="s">
        <v>424</v>
      </c>
      <c r="O325" s="295"/>
      <c r="P325" s="295"/>
      <c r="Q325" s="296"/>
      <c r="R325" s="267" t="s">
        <v>426</v>
      </c>
      <c r="S325" s="297"/>
      <c r="T325" s="297"/>
      <c r="U325" s="243"/>
    </row>
    <row r="326" spans="1:38">
      <c r="A326" s="9"/>
      <c r="B326" s="260"/>
      <c r="C326" s="300"/>
      <c r="D326" s="300"/>
      <c r="E326" s="300"/>
      <c r="F326" s="267" t="s">
        <v>429</v>
      </c>
      <c r="G326" s="295" t="s">
        <v>439</v>
      </c>
      <c r="H326" s="295"/>
      <c r="I326" s="296"/>
      <c r="J326" s="267" t="str">
        <f t="shared" si="25"/>
        <v>CDD:</v>
      </c>
      <c r="K326" s="295"/>
      <c r="L326" s="295"/>
      <c r="M326" s="296"/>
      <c r="N326" s="267" t="s">
        <v>429</v>
      </c>
      <c r="O326" s="295"/>
      <c r="P326" s="295"/>
      <c r="Q326" s="296"/>
      <c r="R326" s="267" t="s">
        <v>431</v>
      </c>
      <c r="S326" s="297"/>
      <c r="T326" s="297"/>
      <c r="U326" s="243"/>
    </row>
    <row r="327" spans="1:38">
      <c r="A327" s="9"/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43"/>
    </row>
    <row r="328" spans="1:38" ht="28.5">
      <c r="A328" s="9">
        <f>A314+1</f>
        <v>24</v>
      </c>
      <c r="B328" s="282" t="s">
        <v>376</v>
      </c>
      <c r="C328" s="287" t="s">
        <v>435</v>
      </c>
      <c r="D328" s="287"/>
      <c r="E328" s="287"/>
      <c r="F328" s="249" t="s">
        <v>378</v>
      </c>
      <c r="G328" s="288" t="s">
        <v>379</v>
      </c>
      <c r="H328" s="289">
        <v>1</v>
      </c>
      <c r="I328" s="289"/>
      <c r="J328" s="249" t="s">
        <v>378</v>
      </c>
      <c r="K328" s="290" t="str">
        <f>IF(AND(G329="December",H329=31)," ",IF(VLOOKUP(G329,D!$G$5:$I$16,3,0)=H329,LOOKUP(VLOOKUP(G329,D!$G$4:$H$16,2,0)+1,D!$H$4:$H$16,D!$G$4:$G$16),G329))</f>
        <v>January</v>
      </c>
      <c r="L328" s="289">
        <f>IF(K328=" "," ",IF(K328=G329,H329+1,1))</f>
        <v>29</v>
      </c>
      <c r="M328" s="289"/>
      <c r="N328" s="249" t="s">
        <v>378</v>
      </c>
      <c r="O328" s="288" t="str">
        <f>IF(OR(K329=" ",AND(K329="December",L329=31))," ",IF(VLOOKUP(K329,D!$G$5:$I$16,3,0)=L329,LOOKUP(VLOOKUP(K329,D!$G$4:$H$16,2,0)+1,D!$H$4:$H$16,D!$G$4:$G$16),K329))</f>
        <v>June</v>
      </c>
      <c r="P328" s="289">
        <f>IF(O328=" "," ",IF(O328=K329,L329+1,1))</f>
        <v>9</v>
      </c>
      <c r="Q328" s="289"/>
      <c r="R328" s="249" t="s">
        <v>378</v>
      </c>
      <c r="S328" s="288" t="str">
        <f>IF(OR(O329=" ",AND(O329="December",P329=31))," ",IF(VLOOKUP(O329,D!$G$5:$I$16,3,0)=P329,LOOKUP(VLOOKUP(O329,D!$G$4:$H$16,2,0)+1,D!$H$4:$H$16,D!$G$4:$G$16),O329))</f>
        <v>September</v>
      </c>
      <c r="T328" s="289">
        <f>IF(S328=" "," ",IF(S328=O329,P329+1,1))</f>
        <v>9</v>
      </c>
      <c r="U328" s="243"/>
    </row>
    <row r="329" spans="1:38" ht="28.5">
      <c r="A329" s="9"/>
      <c r="B329" s="282"/>
      <c r="C329" s="287"/>
      <c r="D329" s="287"/>
      <c r="E329" s="287"/>
      <c r="F329" s="255" t="s">
        <v>380</v>
      </c>
      <c r="G329" s="291" t="s">
        <v>379</v>
      </c>
      <c r="H329" s="292">
        <v>28</v>
      </c>
      <c r="I329" s="292"/>
      <c r="J329" s="255" t="s">
        <v>380</v>
      </c>
      <c r="K329" s="291" t="s">
        <v>383</v>
      </c>
      <c r="L329" s="292">
        <v>8</v>
      </c>
      <c r="M329" s="292"/>
      <c r="N329" s="255" t="s">
        <v>380</v>
      </c>
      <c r="O329" s="291" t="s">
        <v>436</v>
      </c>
      <c r="P329" s="292">
        <v>8</v>
      </c>
      <c r="Q329" s="292"/>
      <c r="R329" s="255" t="s">
        <v>380</v>
      </c>
      <c r="S329" s="291" t="s">
        <v>384</v>
      </c>
      <c r="T329" s="292">
        <v>31</v>
      </c>
      <c r="U329" s="243"/>
      <c r="X329" s="273"/>
      <c r="Y329" s="273"/>
      <c r="Z329" s="273"/>
      <c r="AB329" s="273"/>
      <c r="AC329" s="273"/>
      <c r="AD329" s="273"/>
      <c r="AF329" s="273"/>
      <c r="AG329" s="273"/>
      <c r="AH329" s="273"/>
      <c r="AJ329" s="273"/>
      <c r="AK329" s="273"/>
      <c r="AL329" s="273"/>
    </row>
    <row r="330" spans="1:38">
      <c r="A330" s="9"/>
      <c r="B330" s="260"/>
      <c r="C330" s="293" t="s">
        <v>395</v>
      </c>
      <c r="D330" s="294"/>
      <c r="E330" s="294"/>
      <c r="F330" s="262"/>
      <c r="G330" s="263" t="str">
        <f>IF(OR(H329&gt;VLOOKUP(G329,D!$G$4:$I$16,3,0),AND(G329=G328,H329&lt;=H328),VLOOKUP(G329,D!$G$4:$H$16,2,0)&lt;VLOOKUP(G328,D!$G$4:$H$16,2,0)),"Must correct date!","")</f>
        <v/>
      </c>
      <c r="H330" s="263"/>
      <c r="J330" s="262"/>
      <c r="K330" s="263" t="str">
        <f>IF(AND(K329=" ",K328=" "),"",IF(OR(L329&gt;VLOOKUP(K329,D!$G$4:$I$16,3,0),AND(K329=K328,L329&lt;=L328),VLOOKUP(K329,D!$G$4:$H$16,2,0)&lt;VLOOKUP(K328,D!$G$4:$H$16,2,0)),"Must correct date!",""))</f>
        <v/>
      </c>
      <c r="L330" s="263"/>
      <c r="N330" s="262"/>
      <c r="O330" s="263" t="str">
        <f>IF(AND(O329=" ",O328=" "),"",IF(OR(P329&gt;VLOOKUP(O329,D!$G$4:$I$16,3,0),AND(O329=O328,P329&lt;=P328),VLOOKUP(O329,D!$G$4:$H$16,2,0)&lt;VLOOKUP(O328,D!$G$4:$H$16,2,0)),"Must correct date!",""))</f>
        <v/>
      </c>
      <c r="P330" s="263"/>
      <c r="R330" s="262"/>
      <c r="S330" s="265" t="str">
        <f>IF(AND(S329=" ",S328=" "),"",IF(OR(T329&gt;VLOOKUP(S329,D!$G$4:$I$16,3,0),AND(S329=S328,T329&lt;=T328),VLOOKUP(S329,D!$G$4:$H$16,2,0)&lt;VLOOKUP(S328,D!$G$4:$H$16,2,0)),"Must correct date!",""))</f>
        <v/>
      </c>
      <c r="T330" s="265"/>
      <c r="U330" s="243"/>
      <c r="X330" s="273"/>
      <c r="Y330" s="273"/>
      <c r="Z330" s="273"/>
      <c r="AB330" s="273"/>
      <c r="AC330" s="273"/>
      <c r="AD330" s="273"/>
      <c r="AF330" s="273"/>
      <c r="AG330" s="273"/>
      <c r="AH330" s="273"/>
      <c r="AJ330" s="273"/>
      <c r="AK330" s="273"/>
      <c r="AL330" s="273"/>
    </row>
    <row r="331" spans="1:38">
      <c r="A331" s="9"/>
      <c r="B331" s="260"/>
      <c r="C331" s="293"/>
      <c r="D331" s="294"/>
      <c r="E331" s="294"/>
      <c r="F331" s="267" t="s">
        <v>389</v>
      </c>
      <c r="G331" s="295" t="s">
        <v>437</v>
      </c>
      <c r="H331" s="295"/>
      <c r="I331" s="296"/>
      <c r="J331" s="267" t="str">
        <f t="shared" ref="J331:J340" si="26">$F331</f>
        <v>SUN:</v>
      </c>
      <c r="K331" s="295"/>
      <c r="L331" s="295"/>
      <c r="M331" s="296"/>
      <c r="N331" s="267" t="s">
        <v>389</v>
      </c>
      <c r="O331" s="295"/>
      <c r="P331" s="295"/>
      <c r="Q331" s="296"/>
      <c r="R331" s="267" t="s">
        <v>391</v>
      </c>
      <c r="S331" s="297"/>
      <c r="T331" s="297"/>
      <c r="U331" s="243"/>
      <c r="X331" s="273"/>
      <c r="Y331" s="273"/>
      <c r="Z331" s="273"/>
      <c r="AB331" s="273"/>
      <c r="AC331" s="273"/>
      <c r="AD331" s="273"/>
      <c r="AF331" s="273"/>
      <c r="AG331" s="273"/>
      <c r="AH331" s="273"/>
      <c r="AJ331" s="273"/>
      <c r="AK331" s="273"/>
      <c r="AL331" s="273"/>
    </row>
    <row r="332" spans="1:38">
      <c r="A332" s="9"/>
      <c r="B332" s="260"/>
      <c r="C332" s="293"/>
      <c r="D332" s="294"/>
      <c r="E332" s="294"/>
      <c r="F332" s="267" t="s">
        <v>396</v>
      </c>
      <c r="G332" s="295" t="s">
        <v>437</v>
      </c>
      <c r="H332" s="295"/>
      <c r="J332" s="267" t="str">
        <f t="shared" si="26"/>
        <v>MON:</v>
      </c>
      <c r="K332" s="295"/>
      <c r="L332" s="295"/>
      <c r="M332" s="296"/>
      <c r="N332" s="267" t="s">
        <v>396</v>
      </c>
      <c r="O332" s="295"/>
      <c r="P332" s="295"/>
      <c r="Q332" s="296"/>
      <c r="R332" s="267" t="s">
        <v>397</v>
      </c>
      <c r="S332" s="297"/>
      <c r="T332" s="297"/>
      <c r="U332" s="243"/>
      <c r="X332" s="273"/>
      <c r="Y332" s="273"/>
      <c r="Z332" s="273"/>
      <c r="AB332" s="273"/>
      <c r="AC332" s="273"/>
      <c r="AD332" s="273"/>
      <c r="AF332" s="273"/>
      <c r="AG332" s="273"/>
      <c r="AH332" s="273"/>
      <c r="AJ332" s="273"/>
      <c r="AK332" s="273"/>
      <c r="AL332" s="273"/>
    </row>
    <row r="333" spans="1:38" ht="28.5">
      <c r="A333" s="9"/>
      <c r="B333" s="260"/>
      <c r="C333" s="298" t="s">
        <v>387</v>
      </c>
      <c r="D333" s="294"/>
      <c r="E333" s="294"/>
      <c r="F333" s="267" t="s">
        <v>402</v>
      </c>
      <c r="G333" s="295" t="s">
        <v>437</v>
      </c>
      <c r="H333" s="295"/>
      <c r="J333" s="267" t="str">
        <f t="shared" si="26"/>
        <v>TUE:</v>
      </c>
      <c r="K333" s="295"/>
      <c r="L333" s="295"/>
      <c r="M333" s="296"/>
      <c r="N333" s="267" t="s">
        <v>402</v>
      </c>
      <c r="O333" s="295"/>
      <c r="P333" s="295"/>
      <c r="Q333" s="296"/>
      <c r="R333" s="267" t="s">
        <v>403</v>
      </c>
      <c r="S333" s="297"/>
      <c r="T333" s="297"/>
      <c r="U333" s="243"/>
      <c r="X333" s="273"/>
      <c r="Y333" s="273"/>
      <c r="Z333" s="273"/>
      <c r="AB333" s="273"/>
      <c r="AC333" s="273"/>
      <c r="AD333" s="273"/>
      <c r="AF333" s="273"/>
      <c r="AG333" s="273"/>
      <c r="AH333" s="273"/>
      <c r="AJ333" s="273"/>
      <c r="AK333" s="273"/>
      <c r="AL333" s="273"/>
    </row>
    <row r="334" spans="1:38">
      <c r="A334" s="9"/>
      <c r="B334" s="260"/>
      <c r="C334" s="298"/>
      <c r="D334" s="294"/>
      <c r="E334" s="294"/>
      <c r="F334" s="267" t="s">
        <v>407</v>
      </c>
      <c r="G334" s="295" t="s">
        <v>437</v>
      </c>
      <c r="H334" s="295"/>
      <c r="J334" s="267" t="str">
        <f t="shared" si="26"/>
        <v>WED:</v>
      </c>
      <c r="K334" s="295"/>
      <c r="L334" s="295"/>
      <c r="M334" s="296"/>
      <c r="N334" s="267" t="s">
        <v>407</v>
      </c>
      <c r="O334" s="295"/>
      <c r="P334" s="295"/>
      <c r="Q334" s="296"/>
      <c r="R334" s="267" t="s">
        <v>408</v>
      </c>
      <c r="S334" s="297"/>
      <c r="T334" s="297"/>
      <c r="U334" s="243"/>
      <c r="X334" s="273"/>
      <c r="Y334" s="273"/>
      <c r="Z334" s="273"/>
      <c r="AB334" s="273"/>
      <c r="AC334" s="273"/>
      <c r="AD334" s="273"/>
      <c r="AF334" s="273"/>
      <c r="AG334" s="273"/>
      <c r="AH334" s="273"/>
      <c r="AJ334" s="273"/>
      <c r="AK334" s="273"/>
      <c r="AL334" s="273"/>
    </row>
    <row r="335" spans="1:38" ht="24">
      <c r="A335" s="9"/>
      <c r="B335" s="260"/>
      <c r="C335" s="274" t="s">
        <v>410</v>
      </c>
      <c r="D335" s="294"/>
      <c r="E335" s="294"/>
      <c r="F335" s="267" t="s">
        <v>411</v>
      </c>
      <c r="G335" s="295" t="s">
        <v>437</v>
      </c>
      <c r="H335" s="295"/>
      <c r="J335" s="267" t="str">
        <f t="shared" si="26"/>
        <v>THU:</v>
      </c>
      <c r="K335" s="295"/>
      <c r="L335" s="295"/>
      <c r="M335" s="296"/>
      <c r="N335" s="267" t="s">
        <v>411</v>
      </c>
      <c r="O335" s="295"/>
      <c r="P335" s="295"/>
      <c r="Q335" s="296"/>
      <c r="R335" s="267" t="s">
        <v>412</v>
      </c>
      <c r="S335" s="297"/>
      <c r="T335" s="297"/>
      <c r="U335" s="243"/>
      <c r="X335" s="273"/>
      <c r="Y335" s="273"/>
      <c r="Z335" s="273"/>
      <c r="AB335" s="273"/>
      <c r="AC335" s="273"/>
      <c r="AD335" s="273"/>
      <c r="AF335" s="273"/>
      <c r="AG335" s="273"/>
      <c r="AH335" s="273"/>
      <c r="AJ335" s="273"/>
      <c r="AK335" s="273"/>
      <c r="AL335" s="273"/>
    </row>
    <row r="336" spans="1:38">
      <c r="A336" s="9"/>
      <c r="B336" s="260"/>
      <c r="C336" s="274"/>
      <c r="D336" s="294"/>
      <c r="E336" s="294"/>
      <c r="F336" s="267" t="s">
        <v>414</v>
      </c>
      <c r="G336" s="295" t="s">
        <v>437</v>
      </c>
      <c r="H336" s="295"/>
      <c r="J336" s="267" t="str">
        <f t="shared" si="26"/>
        <v>FRI:</v>
      </c>
      <c r="K336" s="295"/>
      <c r="L336" s="295"/>
      <c r="M336" s="296"/>
      <c r="N336" s="267" t="s">
        <v>414</v>
      </c>
      <c r="O336" s="295"/>
      <c r="P336" s="295"/>
      <c r="Q336" s="296"/>
      <c r="R336" s="267" t="s">
        <v>415</v>
      </c>
      <c r="S336" s="297"/>
      <c r="T336" s="297"/>
      <c r="U336" s="243"/>
      <c r="X336" s="273"/>
      <c r="Y336" s="273"/>
      <c r="Z336" s="273"/>
      <c r="AB336" s="273"/>
      <c r="AC336" s="273"/>
      <c r="AD336" s="273"/>
      <c r="AF336" s="273"/>
      <c r="AG336" s="273"/>
      <c r="AH336" s="273"/>
      <c r="AJ336" s="273"/>
      <c r="AK336" s="273"/>
      <c r="AL336" s="273"/>
    </row>
    <row r="337" spans="1:38">
      <c r="A337" s="9"/>
      <c r="B337" s="260"/>
      <c r="C337" s="238" t="str">
        <f>IF(AND(C333="Other",OR(D337=" ",D337="")),"Select Type →",IF(AND(NOT(C333="Other"),AND(NOT(D337=" "),NOT(D337=""))),"Deselect Type→",VLOOKUP(C333,$BL$6:$BM$19,2,0)))</f>
        <v>On/Off</v>
      </c>
      <c r="D337" s="299"/>
      <c r="E337" s="299"/>
      <c r="F337" s="267" t="s">
        <v>418</v>
      </c>
      <c r="G337" s="295" t="s">
        <v>437</v>
      </c>
      <c r="H337" s="295"/>
      <c r="J337" s="267" t="str">
        <f t="shared" si="26"/>
        <v>SAT:</v>
      </c>
      <c r="K337" s="295"/>
      <c r="L337" s="295"/>
      <c r="M337" s="296"/>
      <c r="N337" s="267" t="s">
        <v>418</v>
      </c>
      <c r="O337" s="295"/>
      <c r="P337" s="295"/>
      <c r="Q337" s="296"/>
      <c r="R337" s="267" t="s">
        <v>419</v>
      </c>
      <c r="S337" s="297"/>
      <c r="T337" s="297"/>
      <c r="U337" s="243"/>
      <c r="X337" s="273"/>
      <c r="Y337" s="273"/>
      <c r="Z337" s="273"/>
      <c r="AB337" s="273"/>
      <c r="AC337" s="273"/>
      <c r="AD337" s="273"/>
      <c r="AF337" s="273"/>
      <c r="AG337" s="273"/>
      <c r="AH337" s="273"/>
      <c r="AJ337" s="273"/>
      <c r="AK337" s="273"/>
      <c r="AL337" s="273"/>
    </row>
    <row r="338" spans="1:38">
      <c r="A338" s="9"/>
      <c r="B338" s="260"/>
      <c r="C338" s="238"/>
      <c r="D338" s="299"/>
      <c r="E338" s="299"/>
      <c r="F338" s="267" t="s">
        <v>421</v>
      </c>
      <c r="G338" s="295" t="s">
        <v>437</v>
      </c>
      <c r="H338" s="295"/>
      <c r="J338" s="267" t="str">
        <f t="shared" si="26"/>
        <v>HOL:</v>
      </c>
      <c r="K338" s="295"/>
      <c r="L338" s="295"/>
      <c r="M338" s="296"/>
      <c r="N338" s="267" t="s">
        <v>421</v>
      </c>
      <c r="O338" s="295"/>
      <c r="P338" s="295"/>
      <c r="Q338" s="296"/>
      <c r="R338" s="267" t="s">
        <v>391</v>
      </c>
      <c r="S338" s="297"/>
      <c r="T338" s="297"/>
      <c r="U338" s="243"/>
      <c r="X338" s="273"/>
      <c r="Y338" s="273"/>
      <c r="Z338" s="273"/>
      <c r="AB338" s="273"/>
      <c r="AC338" s="273"/>
      <c r="AD338" s="273"/>
      <c r="AF338" s="273"/>
      <c r="AG338" s="273"/>
      <c r="AH338" s="273"/>
      <c r="AJ338" s="273"/>
      <c r="AK338" s="273"/>
      <c r="AL338" s="273"/>
    </row>
    <row r="339" spans="1:38">
      <c r="A339" s="9"/>
      <c r="B339" s="260"/>
      <c r="C339" s="300"/>
      <c r="D339" s="300"/>
      <c r="E339" s="300"/>
      <c r="F339" s="267" t="s">
        <v>424</v>
      </c>
      <c r="G339" s="295" t="s">
        <v>438</v>
      </c>
      <c r="H339" s="295"/>
      <c r="J339" s="267" t="str">
        <f t="shared" si="26"/>
        <v>HDD:</v>
      </c>
      <c r="K339" s="295"/>
      <c r="L339" s="295"/>
      <c r="M339" s="296"/>
      <c r="N339" s="267" t="s">
        <v>424</v>
      </c>
      <c r="O339" s="295"/>
      <c r="P339" s="295"/>
      <c r="Q339" s="296"/>
      <c r="R339" s="267" t="s">
        <v>426</v>
      </c>
      <c r="S339" s="297"/>
      <c r="T339" s="297"/>
      <c r="U339" s="243"/>
    </row>
    <row r="340" spans="1:38">
      <c r="A340" s="9"/>
      <c r="B340" s="260"/>
      <c r="C340" s="300"/>
      <c r="D340" s="300"/>
      <c r="E340" s="300"/>
      <c r="F340" s="267" t="s">
        <v>429</v>
      </c>
      <c r="G340" s="295" t="s">
        <v>439</v>
      </c>
      <c r="H340" s="295"/>
      <c r="I340" s="296"/>
      <c r="J340" s="267" t="str">
        <f t="shared" si="26"/>
        <v>CDD:</v>
      </c>
      <c r="K340" s="295"/>
      <c r="L340" s="295"/>
      <c r="M340" s="296"/>
      <c r="N340" s="267" t="s">
        <v>429</v>
      </c>
      <c r="O340" s="295"/>
      <c r="P340" s="295"/>
      <c r="Q340" s="296"/>
      <c r="R340" s="267" t="s">
        <v>431</v>
      </c>
      <c r="S340" s="297"/>
      <c r="T340" s="297"/>
      <c r="U340" s="243"/>
    </row>
    <row r="341" spans="1:38">
      <c r="A341" s="9"/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43"/>
    </row>
    <row r="342" spans="1:38" ht="28.5">
      <c r="A342" s="9">
        <f>A328+1</f>
        <v>25</v>
      </c>
      <c r="B342" s="282" t="s">
        <v>376</v>
      </c>
      <c r="C342" s="287" t="s">
        <v>435</v>
      </c>
      <c r="D342" s="287"/>
      <c r="E342" s="287"/>
      <c r="F342" s="249" t="s">
        <v>378</v>
      </c>
      <c r="G342" s="288" t="s">
        <v>379</v>
      </c>
      <c r="H342" s="289">
        <v>1</v>
      </c>
      <c r="I342" s="289"/>
      <c r="J342" s="249" t="s">
        <v>378</v>
      </c>
      <c r="K342" s="290" t="str">
        <f>IF(AND(G343="December",H343=31)," ",IF(VLOOKUP(G343,D!$G$5:$I$16,3,0)=H343,LOOKUP(VLOOKUP(G343,D!$G$4:$H$16,2,0)+1,D!$H$4:$H$16,D!$G$4:$G$16),G343))</f>
        <v>January</v>
      </c>
      <c r="L342" s="289">
        <f>IF(K342=" "," ",IF(K342=G343,H343+1,1))</f>
        <v>29</v>
      </c>
      <c r="M342" s="289"/>
      <c r="N342" s="249" t="s">
        <v>378</v>
      </c>
      <c r="O342" s="288" t="str">
        <f>IF(OR(K343=" ",AND(K343="December",L343=31))," ",IF(VLOOKUP(K343,D!$G$5:$I$16,3,0)=L343,LOOKUP(VLOOKUP(K343,D!$G$4:$H$16,2,0)+1,D!$H$4:$H$16,D!$G$4:$G$16),K343))</f>
        <v>June</v>
      </c>
      <c r="P342" s="289">
        <f>IF(O342=" "," ",IF(O342=K343,L343+1,1))</f>
        <v>9</v>
      </c>
      <c r="Q342" s="289"/>
      <c r="R342" s="249" t="s">
        <v>378</v>
      </c>
      <c r="S342" s="288" t="str">
        <f>IF(OR(O343=" ",AND(O343="December",P343=31))," ",IF(VLOOKUP(O343,D!$G$5:$I$16,3,0)=P343,LOOKUP(VLOOKUP(O343,D!$G$4:$H$16,2,0)+1,D!$H$4:$H$16,D!$G$4:$G$16),O343))</f>
        <v>September</v>
      </c>
      <c r="T342" s="289">
        <f>IF(S342=" "," ",IF(S342=O343,P343+1,1))</f>
        <v>9</v>
      </c>
      <c r="U342" s="243"/>
    </row>
    <row r="343" spans="1:38" ht="28.5">
      <c r="A343" s="9"/>
      <c r="B343" s="282"/>
      <c r="C343" s="287"/>
      <c r="D343" s="287"/>
      <c r="E343" s="287"/>
      <c r="F343" s="255" t="s">
        <v>380</v>
      </c>
      <c r="G343" s="291" t="s">
        <v>379</v>
      </c>
      <c r="H343" s="292">
        <v>28</v>
      </c>
      <c r="I343" s="292"/>
      <c r="J343" s="255" t="s">
        <v>380</v>
      </c>
      <c r="K343" s="291" t="s">
        <v>383</v>
      </c>
      <c r="L343" s="292">
        <v>8</v>
      </c>
      <c r="M343" s="292"/>
      <c r="N343" s="255" t="s">
        <v>380</v>
      </c>
      <c r="O343" s="291" t="s">
        <v>436</v>
      </c>
      <c r="P343" s="292">
        <v>8</v>
      </c>
      <c r="Q343" s="292"/>
      <c r="R343" s="255" t="s">
        <v>380</v>
      </c>
      <c r="S343" s="291" t="s">
        <v>384</v>
      </c>
      <c r="T343" s="292">
        <v>31</v>
      </c>
      <c r="U343" s="243"/>
      <c r="X343" s="273"/>
      <c r="Y343" s="273"/>
      <c r="Z343" s="273"/>
      <c r="AB343" s="273"/>
      <c r="AC343" s="273"/>
      <c r="AD343" s="273"/>
      <c r="AF343" s="273"/>
      <c r="AG343" s="273"/>
      <c r="AH343" s="273"/>
      <c r="AJ343" s="273"/>
      <c r="AK343" s="273"/>
      <c r="AL343" s="273"/>
    </row>
    <row r="344" spans="1:38">
      <c r="A344" s="9"/>
      <c r="B344" s="260"/>
      <c r="C344" s="293" t="s">
        <v>395</v>
      </c>
      <c r="D344" s="294"/>
      <c r="E344" s="294"/>
      <c r="F344" s="262"/>
      <c r="G344" s="263" t="str">
        <f>IF(OR(H343&gt;VLOOKUP(G343,D!$G$4:$I$16,3,0),AND(G343=G342,H343&lt;=H342),VLOOKUP(G343,D!$G$4:$H$16,2,0)&lt;VLOOKUP(G342,D!$G$4:$H$16,2,0)),"Must correct date!","")</f>
        <v/>
      </c>
      <c r="H344" s="263"/>
      <c r="J344" s="262"/>
      <c r="K344" s="263" t="str">
        <f>IF(AND(K343=" ",K342=" "),"",IF(OR(L343&gt;VLOOKUP(K343,D!$G$4:$I$16,3,0),AND(K343=K342,L343&lt;=L342),VLOOKUP(K343,D!$G$4:$H$16,2,0)&lt;VLOOKUP(K342,D!$G$4:$H$16,2,0)),"Must correct date!",""))</f>
        <v/>
      </c>
      <c r="L344" s="263"/>
      <c r="N344" s="262"/>
      <c r="O344" s="263" t="str">
        <f>IF(AND(O343=" ",O342=" "),"",IF(OR(P343&gt;VLOOKUP(O343,D!$G$4:$I$16,3,0),AND(O343=O342,P343&lt;=P342),VLOOKUP(O343,D!$G$4:$H$16,2,0)&lt;VLOOKUP(O342,D!$G$4:$H$16,2,0)),"Must correct date!",""))</f>
        <v/>
      </c>
      <c r="P344" s="263"/>
      <c r="R344" s="262"/>
      <c r="S344" s="265" t="str">
        <f>IF(AND(S343=" ",S342=" "),"",IF(OR(T343&gt;VLOOKUP(S343,D!$G$4:$I$16,3,0),AND(S343=S342,T343&lt;=T342),VLOOKUP(S343,D!$G$4:$H$16,2,0)&lt;VLOOKUP(S342,D!$G$4:$H$16,2,0)),"Must correct date!",""))</f>
        <v/>
      </c>
      <c r="T344" s="265"/>
      <c r="U344" s="243"/>
      <c r="X344" s="273"/>
      <c r="Y344" s="273"/>
      <c r="Z344" s="273"/>
      <c r="AB344" s="273"/>
      <c r="AC344" s="273"/>
      <c r="AD344" s="273"/>
      <c r="AF344" s="273"/>
      <c r="AG344" s="273"/>
      <c r="AH344" s="273"/>
      <c r="AJ344" s="273"/>
      <c r="AK344" s="273"/>
      <c r="AL344" s="273"/>
    </row>
    <row r="345" spans="1:38">
      <c r="A345" s="9"/>
      <c r="B345" s="260"/>
      <c r="C345" s="293"/>
      <c r="D345" s="294"/>
      <c r="E345" s="294"/>
      <c r="F345" s="267" t="s">
        <v>389</v>
      </c>
      <c r="G345" s="295" t="s">
        <v>437</v>
      </c>
      <c r="H345" s="295"/>
      <c r="I345" s="296"/>
      <c r="J345" s="267" t="str">
        <f t="shared" ref="J345:J354" si="27">$F345</f>
        <v>SUN:</v>
      </c>
      <c r="K345" s="295"/>
      <c r="L345" s="295"/>
      <c r="M345" s="296"/>
      <c r="N345" s="267" t="s">
        <v>389</v>
      </c>
      <c r="O345" s="295"/>
      <c r="P345" s="295"/>
      <c r="Q345" s="296"/>
      <c r="R345" s="267" t="s">
        <v>391</v>
      </c>
      <c r="S345" s="297"/>
      <c r="T345" s="297"/>
      <c r="U345" s="243"/>
      <c r="X345" s="273"/>
      <c r="Y345" s="273"/>
      <c r="Z345" s="273"/>
      <c r="AB345" s="273"/>
      <c r="AC345" s="273"/>
      <c r="AD345" s="273"/>
      <c r="AF345" s="273"/>
      <c r="AG345" s="273"/>
      <c r="AH345" s="273"/>
      <c r="AJ345" s="273"/>
      <c r="AK345" s="273"/>
      <c r="AL345" s="273"/>
    </row>
    <row r="346" spans="1:38">
      <c r="A346" s="9"/>
      <c r="B346" s="260"/>
      <c r="C346" s="293"/>
      <c r="D346" s="294"/>
      <c r="E346" s="294"/>
      <c r="F346" s="267" t="s">
        <v>396</v>
      </c>
      <c r="G346" s="295" t="s">
        <v>437</v>
      </c>
      <c r="H346" s="295"/>
      <c r="J346" s="267" t="str">
        <f t="shared" si="27"/>
        <v>MON:</v>
      </c>
      <c r="K346" s="295"/>
      <c r="L346" s="295"/>
      <c r="M346" s="296"/>
      <c r="N346" s="267" t="s">
        <v>396</v>
      </c>
      <c r="O346" s="295"/>
      <c r="P346" s="295"/>
      <c r="Q346" s="296"/>
      <c r="R346" s="267" t="s">
        <v>397</v>
      </c>
      <c r="S346" s="297"/>
      <c r="T346" s="297"/>
      <c r="U346" s="243"/>
      <c r="X346" s="273"/>
      <c r="Y346" s="273"/>
      <c r="Z346" s="273"/>
      <c r="AB346" s="273"/>
      <c r="AC346" s="273"/>
      <c r="AD346" s="273"/>
      <c r="AF346" s="273"/>
      <c r="AG346" s="273"/>
      <c r="AH346" s="273"/>
      <c r="AJ346" s="273"/>
      <c r="AK346" s="273"/>
      <c r="AL346" s="273"/>
    </row>
    <row r="347" spans="1:38" ht="28.5">
      <c r="A347" s="9"/>
      <c r="B347" s="260"/>
      <c r="C347" s="298" t="s">
        <v>387</v>
      </c>
      <c r="D347" s="294"/>
      <c r="E347" s="294"/>
      <c r="F347" s="267" t="s">
        <v>402</v>
      </c>
      <c r="G347" s="295" t="s">
        <v>437</v>
      </c>
      <c r="H347" s="295"/>
      <c r="J347" s="267" t="str">
        <f t="shared" si="27"/>
        <v>TUE:</v>
      </c>
      <c r="K347" s="295"/>
      <c r="L347" s="295"/>
      <c r="M347" s="296"/>
      <c r="N347" s="267" t="s">
        <v>402</v>
      </c>
      <c r="O347" s="295"/>
      <c r="P347" s="295"/>
      <c r="Q347" s="296"/>
      <c r="R347" s="267" t="s">
        <v>403</v>
      </c>
      <c r="S347" s="297"/>
      <c r="T347" s="297"/>
      <c r="U347" s="243"/>
      <c r="X347" s="273"/>
      <c r="Y347" s="273"/>
      <c r="Z347" s="273"/>
      <c r="AB347" s="273"/>
      <c r="AC347" s="273"/>
      <c r="AD347" s="273"/>
      <c r="AF347" s="273"/>
      <c r="AG347" s="273"/>
      <c r="AH347" s="273"/>
      <c r="AJ347" s="273"/>
      <c r="AK347" s="273"/>
      <c r="AL347" s="273"/>
    </row>
    <row r="348" spans="1:38">
      <c r="A348" s="9"/>
      <c r="B348" s="260"/>
      <c r="C348" s="298"/>
      <c r="D348" s="294"/>
      <c r="E348" s="294"/>
      <c r="F348" s="267" t="s">
        <v>407</v>
      </c>
      <c r="G348" s="295" t="s">
        <v>437</v>
      </c>
      <c r="H348" s="295"/>
      <c r="J348" s="267" t="str">
        <f t="shared" si="27"/>
        <v>WED:</v>
      </c>
      <c r="K348" s="295"/>
      <c r="L348" s="295"/>
      <c r="M348" s="296"/>
      <c r="N348" s="267" t="s">
        <v>407</v>
      </c>
      <c r="O348" s="295"/>
      <c r="P348" s="295"/>
      <c r="Q348" s="296"/>
      <c r="R348" s="267" t="s">
        <v>408</v>
      </c>
      <c r="S348" s="297"/>
      <c r="T348" s="297"/>
      <c r="U348" s="243"/>
      <c r="X348" s="273"/>
      <c r="Y348" s="273"/>
      <c r="Z348" s="273"/>
      <c r="AB348" s="273"/>
      <c r="AC348" s="273"/>
      <c r="AD348" s="273"/>
      <c r="AF348" s="273"/>
      <c r="AG348" s="273"/>
      <c r="AH348" s="273"/>
      <c r="AJ348" s="273"/>
      <c r="AK348" s="273"/>
      <c r="AL348" s="273"/>
    </row>
    <row r="349" spans="1:38" ht="24">
      <c r="A349" s="9"/>
      <c r="B349" s="260"/>
      <c r="C349" s="274" t="s">
        <v>410</v>
      </c>
      <c r="D349" s="294"/>
      <c r="E349" s="294"/>
      <c r="F349" s="267" t="s">
        <v>411</v>
      </c>
      <c r="G349" s="295" t="s">
        <v>437</v>
      </c>
      <c r="H349" s="295"/>
      <c r="J349" s="267" t="str">
        <f t="shared" si="27"/>
        <v>THU:</v>
      </c>
      <c r="K349" s="295"/>
      <c r="L349" s="295"/>
      <c r="M349" s="296"/>
      <c r="N349" s="267" t="s">
        <v>411</v>
      </c>
      <c r="O349" s="295"/>
      <c r="P349" s="295"/>
      <c r="Q349" s="296"/>
      <c r="R349" s="267" t="s">
        <v>412</v>
      </c>
      <c r="S349" s="297"/>
      <c r="T349" s="297"/>
      <c r="U349" s="243"/>
      <c r="X349" s="273"/>
      <c r="Y349" s="273"/>
      <c r="Z349" s="273"/>
      <c r="AB349" s="273"/>
      <c r="AC349" s="273"/>
      <c r="AD349" s="273"/>
      <c r="AF349" s="273"/>
      <c r="AG349" s="273"/>
      <c r="AH349" s="273"/>
      <c r="AJ349" s="273"/>
      <c r="AK349" s="273"/>
      <c r="AL349" s="273"/>
    </row>
    <row r="350" spans="1:38">
      <c r="A350" s="9"/>
      <c r="B350" s="260"/>
      <c r="C350" s="274"/>
      <c r="D350" s="294"/>
      <c r="E350" s="294"/>
      <c r="F350" s="267" t="s">
        <v>414</v>
      </c>
      <c r="G350" s="295" t="s">
        <v>437</v>
      </c>
      <c r="H350" s="295"/>
      <c r="J350" s="267" t="str">
        <f t="shared" si="27"/>
        <v>FRI:</v>
      </c>
      <c r="K350" s="295"/>
      <c r="L350" s="295"/>
      <c r="M350" s="296"/>
      <c r="N350" s="267" t="s">
        <v>414</v>
      </c>
      <c r="O350" s="295"/>
      <c r="P350" s="295"/>
      <c r="Q350" s="296"/>
      <c r="R350" s="267" t="s">
        <v>415</v>
      </c>
      <c r="S350" s="297"/>
      <c r="T350" s="297"/>
      <c r="U350" s="243"/>
      <c r="X350" s="273"/>
      <c r="Y350" s="273"/>
      <c r="Z350" s="273"/>
      <c r="AB350" s="273"/>
      <c r="AC350" s="273"/>
      <c r="AD350" s="273"/>
      <c r="AF350" s="273"/>
      <c r="AG350" s="273"/>
      <c r="AH350" s="273"/>
      <c r="AJ350" s="273"/>
      <c r="AK350" s="273"/>
      <c r="AL350" s="273"/>
    </row>
    <row r="351" spans="1:38">
      <c r="A351" s="9"/>
      <c r="B351" s="260"/>
      <c r="C351" s="238" t="str">
        <f>IF(AND(C347="Other",OR(D351=" ",D351="")),"Select Type →",IF(AND(NOT(C347="Other"),AND(NOT(D351=" "),NOT(D351=""))),"Deselect Type→",VLOOKUP(C347,$BL$6:$BM$19,2,0)))</f>
        <v>On/Off</v>
      </c>
      <c r="D351" s="299"/>
      <c r="E351" s="299"/>
      <c r="F351" s="267" t="s">
        <v>418</v>
      </c>
      <c r="G351" s="295" t="s">
        <v>437</v>
      </c>
      <c r="H351" s="295"/>
      <c r="J351" s="267" t="str">
        <f t="shared" si="27"/>
        <v>SAT:</v>
      </c>
      <c r="K351" s="295"/>
      <c r="L351" s="295"/>
      <c r="M351" s="296"/>
      <c r="N351" s="267" t="s">
        <v>418</v>
      </c>
      <c r="O351" s="295"/>
      <c r="P351" s="295"/>
      <c r="Q351" s="296"/>
      <c r="R351" s="267" t="s">
        <v>419</v>
      </c>
      <c r="S351" s="297"/>
      <c r="T351" s="297"/>
      <c r="U351" s="243"/>
      <c r="X351" s="273"/>
      <c r="Y351" s="273"/>
      <c r="Z351" s="273"/>
      <c r="AB351" s="273"/>
      <c r="AC351" s="273"/>
      <c r="AD351" s="273"/>
      <c r="AF351" s="273"/>
      <c r="AG351" s="273"/>
      <c r="AH351" s="273"/>
      <c r="AJ351" s="273"/>
      <c r="AK351" s="273"/>
      <c r="AL351" s="273"/>
    </row>
    <row r="352" spans="1:38">
      <c r="A352" s="9"/>
      <c r="B352" s="260"/>
      <c r="C352" s="238"/>
      <c r="D352" s="299"/>
      <c r="E352" s="299"/>
      <c r="F352" s="267" t="s">
        <v>421</v>
      </c>
      <c r="G352" s="295" t="s">
        <v>437</v>
      </c>
      <c r="H352" s="295"/>
      <c r="J352" s="267" t="str">
        <f t="shared" si="27"/>
        <v>HOL:</v>
      </c>
      <c r="K352" s="295"/>
      <c r="L352" s="295"/>
      <c r="M352" s="296"/>
      <c r="N352" s="267" t="s">
        <v>421</v>
      </c>
      <c r="O352" s="295"/>
      <c r="P352" s="295"/>
      <c r="Q352" s="296"/>
      <c r="R352" s="267" t="s">
        <v>391</v>
      </c>
      <c r="S352" s="297"/>
      <c r="T352" s="297"/>
      <c r="U352" s="243"/>
      <c r="X352" s="273"/>
      <c r="Y352" s="273"/>
      <c r="Z352" s="273"/>
      <c r="AB352" s="273"/>
      <c r="AC352" s="273"/>
      <c r="AD352" s="273"/>
      <c r="AF352" s="273"/>
      <c r="AG352" s="273"/>
      <c r="AH352" s="273"/>
      <c r="AJ352" s="273"/>
      <c r="AK352" s="273"/>
      <c r="AL352" s="273"/>
    </row>
    <row r="353" spans="1:38">
      <c r="A353" s="9"/>
      <c r="B353" s="260"/>
      <c r="C353" s="300"/>
      <c r="D353" s="300"/>
      <c r="E353" s="300"/>
      <c r="F353" s="267" t="s">
        <v>424</v>
      </c>
      <c r="G353" s="295" t="s">
        <v>438</v>
      </c>
      <c r="H353" s="295"/>
      <c r="J353" s="267" t="str">
        <f t="shared" si="27"/>
        <v>HDD:</v>
      </c>
      <c r="K353" s="295"/>
      <c r="L353" s="295"/>
      <c r="M353" s="296"/>
      <c r="N353" s="267" t="s">
        <v>424</v>
      </c>
      <c r="O353" s="295"/>
      <c r="P353" s="295"/>
      <c r="Q353" s="296"/>
      <c r="R353" s="267" t="s">
        <v>426</v>
      </c>
      <c r="S353" s="297"/>
      <c r="T353" s="297"/>
      <c r="U353" s="243"/>
    </row>
    <row r="354" spans="1:38">
      <c r="A354" s="9"/>
      <c r="B354" s="260"/>
      <c r="C354" s="300"/>
      <c r="D354" s="300"/>
      <c r="E354" s="300"/>
      <c r="F354" s="267" t="s">
        <v>429</v>
      </c>
      <c r="G354" s="295" t="s">
        <v>439</v>
      </c>
      <c r="H354" s="295"/>
      <c r="I354" s="296"/>
      <c r="J354" s="267" t="str">
        <f t="shared" si="27"/>
        <v>CDD:</v>
      </c>
      <c r="K354" s="295"/>
      <c r="L354" s="295"/>
      <c r="M354" s="296"/>
      <c r="N354" s="267" t="s">
        <v>429</v>
      </c>
      <c r="O354" s="295"/>
      <c r="P354" s="295"/>
      <c r="Q354" s="296"/>
      <c r="R354" s="267" t="s">
        <v>431</v>
      </c>
      <c r="S354" s="297"/>
      <c r="T354" s="297"/>
      <c r="U354" s="243"/>
    </row>
    <row r="355" spans="1:38">
      <c r="A355" s="9"/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43"/>
    </row>
    <row r="356" spans="1:38" ht="28.5">
      <c r="A356" s="9">
        <f>A342+1</f>
        <v>26</v>
      </c>
      <c r="B356" s="282" t="s">
        <v>376</v>
      </c>
      <c r="C356" s="287" t="s">
        <v>435</v>
      </c>
      <c r="D356" s="287"/>
      <c r="E356" s="287"/>
      <c r="F356" s="249" t="s">
        <v>378</v>
      </c>
      <c r="G356" s="288" t="s">
        <v>379</v>
      </c>
      <c r="H356" s="289">
        <v>1</v>
      </c>
      <c r="I356" s="289"/>
      <c r="J356" s="249" t="s">
        <v>378</v>
      </c>
      <c r="K356" s="290" t="str">
        <f>IF(AND(G357="December",H357=31)," ",IF(VLOOKUP(G357,D!$G$5:$I$16,3,0)=H357,LOOKUP(VLOOKUP(G357,D!$G$4:$H$16,2,0)+1,D!$H$4:$H$16,D!$G$4:$G$16),G357))</f>
        <v>January</v>
      </c>
      <c r="L356" s="289">
        <f>IF(K356=" "," ",IF(K356=G357,H357+1,1))</f>
        <v>29</v>
      </c>
      <c r="M356" s="289"/>
      <c r="N356" s="249" t="s">
        <v>378</v>
      </c>
      <c r="O356" s="288" t="str">
        <f>IF(OR(K357=" ",AND(K357="December",L357=31))," ",IF(VLOOKUP(K357,D!$G$5:$I$16,3,0)=L357,LOOKUP(VLOOKUP(K357,D!$G$4:$H$16,2,0)+1,D!$H$4:$H$16,D!$G$4:$G$16),K357))</f>
        <v>June</v>
      </c>
      <c r="P356" s="289">
        <f>IF(O356=" "," ",IF(O356=K357,L357+1,1))</f>
        <v>9</v>
      </c>
      <c r="Q356" s="289"/>
      <c r="R356" s="249" t="s">
        <v>378</v>
      </c>
      <c r="S356" s="288" t="str">
        <f>IF(OR(O357=" ",AND(O357="December",P357=31))," ",IF(VLOOKUP(O357,D!$G$5:$I$16,3,0)=P357,LOOKUP(VLOOKUP(O357,D!$G$4:$H$16,2,0)+1,D!$H$4:$H$16,D!$G$4:$G$16),O357))</f>
        <v>September</v>
      </c>
      <c r="T356" s="289">
        <f>IF(S356=" "," ",IF(S356=O357,P357+1,1))</f>
        <v>9</v>
      </c>
      <c r="U356" s="243"/>
    </row>
    <row r="357" spans="1:38" ht="28.5">
      <c r="A357" s="9"/>
      <c r="B357" s="282"/>
      <c r="C357" s="287"/>
      <c r="D357" s="287"/>
      <c r="E357" s="287"/>
      <c r="F357" s="255" t="s">
        <v>380</v>
      </c>
      <c r="G357" s="291" t="s">
        <v>379</v>
      </c>
      <c r="H357" s="292">
        <v>28</v>
      </c>
      <c r="I357" s="292"/>
      <c r="J357" s="255" t="s">
        <v>380</v>
      </c>
      <c r="K357" s="291" t="s">
        <v>383</v>
      </c>
      <c r="L357" s="292">
        <v>8</v>
      </c>
      <c r="M357" s="292"/>
      <c r="N357" s="255" t="s">
        <v>380</v>
      </c>
      <c r="O357" s="291" t="s">
        <v>436</v>
      </c>
      <c r="P357" s="292">
        <v>8</v>
      </c>
      <c r="Q357" s="292"/>
      <c r="R357" s="255" t="s">
        <v>380</v>
      </c>
      <c r="S357" s="291" t="s">
        <v>384</v>
      </c>
      <c r="T357" s="292">
        <v>31</v>
      </c>
      <c r="U357" s="243"/>
      <c r="X357" s="273"/>
      <c r="Y357" s="273"/>
      <c r="Z357" s="273"/>
      <c r="AB357" s="273"/>
      <c r="AC357" s="273"/>
      <c r="AD357" s="273"/>
      <c r="AF357" s="273"/>
      <c r="AG357" s="273"/>
      <c r="AH357" s="273"/>
      <c r="AJ357" s="273"/>
      <c r="AK357" s="273"/>
      <c r="AL357" s="273"/>
    </row>
    <row r="358" spans="1:38">
      <c r="A358" s="9"/>
      <c r="B358" s="260"/>
      <c r="C358" s="293" t="s">
        <v>395</v>
      </c>
      <c r="D358" s="294"/>
      <c r="E358" s="294"/>
      <c r="F358" s="262"/>
      <c r="G358" s="263" t="str">
        <f>IF(OR(H357&gt;VLOOKUP(G357,D!$G$4:$I$16,3,0),AND(G357=G356,H357&lt;=H356),VLOOKUP(G357,D!$G$4:$H$16,2,0)&lt;VLOOKUP(G356,D!$G$4:$H$16,2,0)),"Must correct date!","")</f>
        <v/>
      </c>
      <c r="H358" s="263"/>
      <c r="J358" s="262"/>
      <c r="K358" s="263" t="str">
        <f>IF(AND(K357=" ",K356=" "),"",IF(OR(L357&gt;VLOOKUP(K357,D!$G$4:$I$16,3,0),AND(K357=K356,L357&lt;=L356),VLOOKUP(K357,D!$G$4:$H$16,2,0)&lt;VLOOKUP(K356,D!$G$4:$H$16,2,0)),"Must correct date!",""))</f>
        <v/>
      </c>
      <c r="L358" s="263"/>
      <c r="N358" s="262"/>
      <c r="O358" s="263" t="str">
        <f>IF(AND(O357=" ",O356=" "),"",IF(OR(P357&gt;VLOOKUP(O357,D!$G$4:$I$16,3,0),AND(O357=O356,P357&lt;=P356),VLOOKUP(O357,D!$G$4:$H$16,2,0)&lt;VLOOKUP(O356,D!$G$4:$H$16,2,0)),"Must correct date!",""))</f>
        <v/>
      </c>
      <c r="P358" s="263"/>
      <c r="R358" s="262"/>
      <c r="S358" s="265" t="str">
        <f>IF(AND(S357=" ",S356=" "),"",IF(OR(T357&gt;VLOOKUP(S357,D!$G$4:$I$16,3,0),AND(S357=S356,T357&lt;=T356),VLOOKUP(S357,D!$G$4:$H$16,2,0)&lt;VLOOKUP(S356,D!$G$4:$H$16,2,0)),"Must correct date!",""))</f>
        <v/>
      </c>
      <c r="T358" s="265"/>
      <c r="U358" s="243"/>
      <c r="X358" s="273"/>
      <c r="Y358" s="273"/>
      <c r="Z358" s="273"/>
      <c r="AB358" s="273"/>
      <c r="AC358" s="273"/>
      <c r="AD358" s="273"/>
      <c r="AF358" s="273"/>
      <c r="AG358" s="273"/>
      <c r="AH358" s="273"/>
      <c r="AJ358" s="273"/>
      <c r="AK358" s="273"/>
      <c r="AL358" s="273"/>
    </row>
    <row r="359" spans="1:38">
      <c r="A359" s="9"/>
      <c r="B359" s="260"/>
      <c r="C359" s="293"/>
      <c r="D359" s="294"/>
      <c r="E359" s="294"/>
      <c r="F359" s="267" t="s">
        <v>389</v>
      </c>
      <c r="G359" s="295" t="s">
        <v>437</v>
      </c>
      <c r="H359" s="295"/>
      <c r="I359" s="296"/>
      <c r="J359" s="267" t="str">
        <f t="shared" ref="J359:J368" si="28">$F359</f>
        <v>SUN:</v>
      </c>
      <c r="K359" s="295"/>
      <c r="L359" s="295"/>
      <c r="M359" s="296"/>
      <c r="N359" s="267" t="s">
        <v>389</v>
      </c>
      <c r="O359" s="295"/>
      <c r="P359" s="295"/>
      <c r="Q359" s="296"/>
      <c r="R359" s="267" t="s">
        <v>391</v>
      </c>
      <c r="S359" s="297"/>
      <c r="T359" s="297"/>
      <c r="U359" s="243"/>
      <c r="X359" s="273"/>
      <c r="Y359" s="273"/>
      <c r="Z359" s="273"/>
      <c r="AB359" s="273"/>
      <c r="AC359" s="273"/>
      <c r="AD359" s="273"/>
      <c r="AF359" s="273"/>
      <c r="AG359" s="273"/>
      <c r="AH359" s="273"/>
      <c r="AJ359" s="273"/>
      <c r="AK359" s="273"/>
      <c r="AL359" s="273"/>
    </row>
    <row r="360" spans="1:38">
      <c r="A360" s="9"/>
      <c r="B360" s="260"/>
      <c r="C360" s="293"/>
      <c r="D360" s="294"/>
      <c r="E360" s="294"/>
      <c r="F360" s="267" t="s">
        <v>396</v>
      </c>
      <c r="G360" s="295" t="s">
        <v>437</v>
      </c>
      <c r="H360" s="295"/>
      <c r="J360" s="267" t="str">
        <f t="shared" si="28"/>
        <v>MON:</v>
      </c>
      <c r="K360" s="295"/>
      <c r="L360" s="295"/>
      <c r="M360" s="296"/>
      <c r="N360" s="267" t="s">
        <v>396</v>
      </c>
      <c r="O360" s="295"/>
      <c r="P360" s="295"/>
      <c r="Q360" s="296"/>
      <c r="R360" s="267" t="s">
        <v>397</v>
      </c>
      <c r="S360" s="297"/>
      <c r="T360" s="297"/>
      <c r="U360" s="243"/>
      <c r="X360" s="273"/>
      <c r="Y360" s="273"/>
      <c r="Z360" s="273"/>
      <c r="AB360" s="273"/>
      <c r="AC360" s="273"/>
      <c r="AD360" s="273"/>
      <c r="AF360" s="273"/>
      <c r="AG360" s="273"/>
      <c r="AH360" s="273"/>
      <c r="AJ360" s="273"/>
      <c r="AK360" s="273"/>
      <c r="AL360" s="273"/>
    </row>
    <row r="361" spans="1:38" ht="28.5">
      <c r="A361" s="9"/>
      <c r="B361" s="260"/>
      <c r="C361" s="298" t="s">
        <v>387</v>
      </c>
      <c r="D361" s="294"/>
      <c r="E361" s="294"/>
      <c r="F361" s="267" t="s">
        <v>402</v>
      </c>
      <c r="G361" s="295" t="s">
        <v>437</v>
      </c>
      <c r="H361" s="295"/>
      <c r="J361" s="267" t="str">
        <f t="shared" si="28"/>
        <v>TUE:</v>
      </c>
      <c r="K361" s="295"/>
      <c r="L361" s="295"/>
      <c r="M361" s="296"/>
      <c r="N361" s="267" t="s">
        <v>402</v>
      </c>
      <c r="O361" s="295"/>
      <c r="P361" s="295"/>
      <c r="Q361" s="296"/>
      <c r="R361" s="267" t="s">
        <v>403</v>
      </c>
      <c r="S361" s="297"/>
      <c r="T361" s="297"/>
      <c r="U361" s="243"/>
      <c r="X361" s="273"/>
      <c r="Y361" s="273"/>
      <c r="Z361" s="273"/>
      <c r="AB361" s="273"/>
      <c r="AC361" s="273"/>
      <c r="AD361" s="273"/>
      <c r="AF361" s="273"/>
      <c r="AG361" s="273"/>
      <c r="AH361" s="273"/>
      <c r="AJ361" s="273"/>
      <c r="AK361" s="273"/>
      <c r="AL361" s="273"/>
    </row>
    <row r="362" spans="1:38">
      <c r="A362" s="9"/>
      <c r="B362" s="260"/>
      <c r="C362" s="298"/>
      <c r="D362" s="294"/>
      <c r="E362" s="294"/>
      <c r="F362" s="267" t="s">
        <v>407</v>
      </c>
      <c r="G362" s="295" t="s">
        <v>437</v>
      </c>
      <c r="H362" s="295"/>
      <c r="J362" s="267" t="str">
        <f t="shared" si="28"/>
        <v>WED:</v>
      </c>
      <c r="K362" s="295"/>
      <c r="L362" s="295"/>
      <c r="M362" s="296"/>
      <c r="N362" s="267" t="s">
        <v>407</v>
      </c>
      <c r="O362" s="295"/>
      <c r="P362" s="295"/>
      <c r="Q362" s="296"/>
      <c r="R362" s="267" t="s">
        <v>408</v>
      </c>
      <c r="S362" s="297"/>
      <c r="T362" s="297"/>
      <c r="U362" s="243"/>
      <c r="X362" s="273"/>
      <c r="Y362" s="273"/>
      <c r="Z362" s="273"/>
      <c r="AB362" s="273"/>
      <c r="AC362" s="273"/>
      <c r="AD362" s="273"/>
      <c r="AF362" s="273"/>
      <c r="AG362" s="273"/>
      <c r="AH362" s="273"/>
      <c r="AJ362" s="273"/>
      <c r="AK362" s="273"/>
      <c r="AL362" s="273"/>
    </row>
    <row r="363" spans="1:38" ht="24">
      <c r="A363" s="9"/>
      <c r="B363" s="260"/>
      <c r="C363" s="274" t="s">
        <v>410</v>
      </c>
      <c r="D363" s="294"/>
      <c r="E363" s="294"/>
      <c r="F363" s="267" t="s">
        <v>411</v>
      </c>
      <c r="G363" s="295" t="s">
        <v>437</v>
      </c>
      <c r="H363" s="295"/>
      <c r="J363" s="267" t="str">
        <f t="shared" si="28"/>
        <v>THU:</v>
      </c>
      <c r="K363" s="295"/>
      <c r="L363" s="295"/>
      <c r="M363" s="296"/>
      <c r="N363" s="267" t="s">
        <v>411</v>
      </c>
      <c r="O363" s="295"/>
      <c r="P363" s="295"/>
      <c r="Q363" s="296"/>
      <c r="R363" s="267" t="s">
        <v>412</v>
      </c>
      <c r="S363" s="297"/>
      <c r="T363" s="297"/>
      <c r="U363" s="243"/>
      <c r="X363" s="273"/>
      <c r="Y363" s="273"/>
      <c r="Z363" s="273"/>
      <c r="AB363" s="273"/>
      <c r="AC363" s="273"/>
      <c r="AD363" s="273"/>
      <c r="AF363" s="273"/>
      <c r="AG363" s="273"/>
      <c r="AH363" s="273"/>
      <c r="AJ363" s="273"/>
      <c r="AK363" s="273"/>
      <c r="AL363" s="273"/>
    </row>
    <row r="364" spans="1:38">
      <c r="A364" s="9"/>
      <c r="B364" s="260"/>
      <c r="C364" s="274"/>
      <c r="D364" s="294"/>
      <c r="E364" s="294"/>
      <c r="F364" s="267" t="s">
        <v>414</v>
      </c>
      <c r="G364" s="295" t="s">
        <v>437</v>
      </c>
      <c r="H364" s="295"/>
      <c r="J364" s="267" t="str">
        <f t="shared" si="28"/>
        <v>FRI:</v>
      </c>
      <c r="K364" s="295"/>
      <c r="L364" s="295"/>
      <c r="M364" s="296"/>
      <c r="N364" s="267" t="s">
        <v>414</v>
      </c>
      <c r="O364" s="295"/>
      <c r="P364" s="295"/>
      <c r="Q364" s="296"/>
      <c r="R364" s="267" t="s">
        <v>415</v>
      </c>
      <c r="S364" s="297"/>
      <c r="T364" s="297"/>
      <c r="U364" s="243"/>
      <c r="X364" s="273"/>
      <c r="Y364" s="273"/>
      <c r="Z364" s="273"/>
      <c r="AB364" s="273"/>
      <c r="AC364" s="273"/>
      <c r="AD364" s="273"/>
      <c r="AF364" s="273"/>
      <c r="AG364" s="273"/>
      <c r="AH364" s="273"/>
      <c r="AJ364" s="273"/>
      <c r="AK364" s="273"/>
      <c r="AL364" s="273"/>
    </row>
    <row r="365" spans="1:38">
      <c r="A365" s="9"/>
      <c r="B365" s="260"/>
      <c r="C365" s="238" t="str">
        <f>IF(AND(C361="Other",OR(D365=" ",D365="")),"Select Type →",IF(AND(NOT(C361="Other"),AND(NOT(D365=" "),NOT(D365=""))),"Deselect Type→",VLOOKUP(C361,$BL$6:$BM$19,2,0)))</f>
        <v>On/Off</v>
      </c>
      <c r="D365" s="299"/>
      <c r="E365" s="299"/>
      <c r="F365" s="267" t="s">
        <v>418</v>
      </c>
      <c r="G365" s="295" t="s">
        <v>437</v>
      </c>
      <c r="H365" s="295"/>
      <c r="J365" s="267" t="str">
        <f t="shared" si="28"/>
        <v>SAT:</v>
      </c>
      <c r="K365" s="295"/>
      <c r="L365" s="295"/>
      <c r="M365" s="296"/>
      <c r="N365" s="267" t="s">
        <v>418</v>
      </c>
      <c r="O365" s="295"/>
      <c r="P365" s="295"/>
      <c r="Q365" s="296"/>
      <c r="R365" s="267" t="s">
        <v>419</v>
      </c>
      <c r="S365" s="297"/>
      <c r="T365" s="297"/>
      <c r="U365" s="243"/>
      <c r="X365" s="273"/>
      <c r="Y365" s="273"/>
      <c r="Z365" s="273"/>
      <c r="AB365" s="273"/>
      <c r="AC365" s="273"/>
      <c r="AD365" s="273"/>
      <c r="AF365" s="273"/>
      <c r="AG365" s="273"/>
      <c r="AH365" s="273"/>
      <c r="AJ365" s="273"/>
      <c r="AK365" s="273"/>
      <c r="AL365" s="273"/>
    </row>
    <row r="366" spans="1:38">
      <c r="A366" s="9"/>
      <c r="B366" s="260"/>
      <c r="C366" s="238"/>
      <c r="D366" s="299"/>
      <c r="E366" s="299"/>
      <c r="F366" s="267" t="s">
        <v>421</v>
      </c>
      <c r="G366" s="295" t="s">
        <v>437</v>
      </c>
      <c r="H366" s="295"/>
      <c r="J366" s="267" t="str">
        <f t="shared" si="28"/>
        <v>HOL:</v>
      </c>
      <c r="K366" s="295"/>
      <c r="L366" s="295"/>
      <c r="M366" s="296"/>
      <c r="N366" s="267" t="s">
        <v>421</v>
      </c>
      <c r="O366" s="295"/>
      <c r="P366" s="295"/>
      <c r="Q366" s="296"/>
      <c r="R366" s="267" t="s">
        <v>391</v>
      </c>
      <c r="S366" s="297"/>
      <c r="T366" s="297"/>
      <c r="U366" s="243"/>
      <c r="X366" s="273"/>
      <c r="Y366" s="273"/>
      <c r="Z366" s="273"/>
      <c r="AB366" s="273"/>
      <c r="AC366" s="273"/>
      <c r="AD366" s="273"/>
      <c r="AF366" s="273"/>
      <c r="AG366" s="273"/>
      <c r="AH366" s="273"/>
      <c r="AJ366" s="273"/>
      <c r="AK366" s="273"/>
      <c r="AL366" s="273"/>
    </row>
    <row r="367" spans="1:38">
      <c r="A367" s="9"/>
      <c r="B367" s="260"/>
      <c r="C367" s="300"/>
      <c r="D367" s="300"/>
      <c r="E367" s="300"/>
      <c r="F367" s="267" t="s">
        <v>424</v>
      </c>
      <c r="G367" s="295" t="s">
        <v>438</v>
      </c>
      <c r="H367" s="295"/>
      <c r="J367" s="267" t="str">
        <f t="shared" si="28"/>
        <v>HDD:</v>
      </c>
      <c r="K367" s="295"/>
      <c r="L367" s="295"/>
      <c r="M367" s="296"/>
      <c r="N367" s="267" t="s">
        <v>424</v>
      </c>
      <c r="O367" s="295"/>
      <c r="P367" s="295"/>
      <c r="Q367" s="296"/>
      <c r="R367" s="267" t="s">
        <v>426</v>
      </c>
      <c r="S367" s="297"/>
      <c r="T367" s="297"/>
      <c r="U367" s="243"/>
    </row>
    <row r="368" spans="1:38">
      <c r="A368" s="9"/>
      <c r="B368" s="260"/>
      <c r="C368" s="300"/>
      <c r="D368" s="300"/>
      <c r="E368" s="300"/>
      <c r="F368" s="267" t="s">
        <v>429</v>
      </c>
      <c r="G368" s="295" t="s">
        <v>439</v>
      </c>
      <c r="H368" s="295"/>
      <c r="I368" s="296"/>
      <c r="J368" s="267" t="str">
        <f t="shared" si="28"/>
        <v>CDD:</v>
      </c>
      <c r="K368" s="295"/>
      <c r="L368" s="295"/>
      <c r="M368" s="296"/>
      <c r="N368" s="267" t="s">
        <v>429</v>
      </c>
      <c r="O368" s="295"/>
      <c r="P368" s="295"/>
      <c r="Q368" s="296"/>
      <c r="R368" s="267" t="s">
        <v>431</v>
      </c>
      <c r="S368" s="297"/>
      <c r="T368" s="297"/>
      <c r="U368" s="243"/>
    </row>
    <row r="369" spans="1:38">
      <c r="A369" s="9"/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43"/>
    </row>
    <row r="370" spans="1:38" ht="28.5">
      <c r="A370" s="9">
        <f>A356+1</f>
        <v>27</v>
      </c>
      <c r="B370" s="282" t="s">
        <v>376</v>
      </c>
      <c r="C370" s="287" t="s">
        <v>435</v>
      </c>
      <c r="D370" s="287"/>
      <c r="E370" s="287"/>
      <c r="F370" s="249" t="s">
        <v>378</v>
      </c>
      <c r="G370" s="288" t="s">
        <v>379</v>
      </c>
      <c r="H370" s="289">
        <v>1</v>
      </c>
      <c r="I370" s="289"/>
      <c r="J370" s="249" t="s">
        <v>378</v>
      </c>
      <c r="K370" s="290" t="str">
        <f>IF(AND(G371="December",H371=31)," ",IF(VLOOKUP(G371,D!$G$5:$I$16,3,0)=H371,LOOKUP(VLOOKUP(G371,D!$G$4:$H$16,2,0)+1,D!$H$4:$H$16,D!$G$4:$G$16),G371))</f>
        <v>January</v>
      </c>
      <c r="L370" s="289">
        <f>IF(K370=" "," ",IF(K370=G371,H371+1,1))</f>
        <v>29</v>
      </c>
      <c r="M370" s="289"/>
      <c r="N370" s="249" t="s">
        <v>378</v>
      </c>
      <c r="O370" s="288" t="str">
        <f>IF(OR(K371=" ",AND(K371="December",L371=31))," ",IF(VLOOKUP(K371,D!$G$5:$I$16,3,0)=L371,LOOKUP(VLOOKUP(K371,D!$G$4:$H$16,2,0)+1,D!$H$4:$H$16,D!$G$4:$G$16),K371))</f>
        <v>June</v>
      </c>
      <c r="P370" s="289">
        <f>IF(O370=" "," ",IF(O370=K371,L371+1,1))</f>
        <v>9</v>
      </c>
      <c r="Q370" s="289"/>
      <c r="R370" s="249" t="s">
        <v>378</v>
      </c>
      <c r="S370" s="288" t="str">
        <f>IF(OR(O371=" ",AND(O371="December",P371=31))," ",IF(VLOOKUP(O371,D!$G$5:$I$16,3,0)=P371,LOOKUP(VLOOKUP(O371,D!$G$4:$H$16,2,0)+1,D!$H$4:$H$16,D!$G$4:$G$16),O371))</f>
        <v>September</v>
      </c>
      <c r="T370" s="289">
        <f>IF(S370=" "," ",IF(S370=O371,P371+1,1))</f>
        <v>9</v>
      </c>
      <c r="U370" s="243"/>
    </row>
    <row r="371" spans="1:38" ht="28.5">
      <c r="A371" s="9"/>
      <c r="B371" s="282"/>
      <c r="C371" s="287"/>
      <c r="D371" s="287"/>
      <c r="E371" s="287"/>
      <c r="F371" s="255" t="s">
        <v>380</v>
      </c>
      <c r="G371" s="291" t="s">
        <v>379</v>
      </c>
      <c r="H371" s="292">
        <v>28</v>
      </c>
      <c r="I371" s="292"/>
      <c r="J371" s="255" t="s">
        <v>380</v>
      </c>
      <c r="K371" s="291" t="s">
        <v>383</v>
      </c>
      <c r="L371" s="292">
        <v>8</v>
      </c>
      <c r="M371" s="292"/>
      <c r="N371" s="255" t="s">
        <v>380</v>
      </c>
      <c r="O371" s="291" t="s">
        <v>436</v>
      </c>
      <c r="P371" s="292">
        <v>8</v>
      </c>
      <c r="Q371" s="292"/>
      <c r="R371" s="255" t="s">
        <v>380</v>
      </c>
      <c r="S371" s="291" t="s">
        <v>384</v>
      </c>
      <c r="T371" s="292">
        <v>31</v>
      </c>
      <c r="U371" s="243"/>
      <c r="X371" s="273"/>
      <c r="Y371" s="273"/>
      <c r="Z371" s="273"/>
      <c r="AB371" s="273"/>
      <c r="AC371" s="273"/>
      <c r="AD371" s="273"/>
      <c r="AF371" s="273"/>
      <c r="AG371" s="273"/>
      <c r="AH371" s="273"/>
      <c r="AJ371" s="273"/>
      <c r="AK371" s="273"/>
      <c r="AL371" s="273"/>
    </row>
    <row r="372" spans="1:38">
      <c r="A372" s="9"/>
      <c r="B372" s="260"/>
      <c r="C372" s="293" t="s">
        <v>395</v>
      </c>
      <c r="D372" s="294"/>
      <c r="E372" s="294"/>
      <c r="F372" s="262"/>
      <c r="G372" s="263" t="str">
        <f>IF(OR(H371&gt;VLOOKUP(G371,D!$G$4:$I$16,3,0),AND(G371=G370,H371&lt;=H370),VLOOKUP(G371,D!$G$4:$H$16,2,0)&lt;VLOOKUP(G370,D!$G$4:$H$16,2,0)),"Must correct date!","")</f>
        <v/>
      </c>
      <c r="H372" s="263"/>
      <c r="J372" s="262"/>
      <c r="K372" s="263" t="str">
        <f>IF(AND(K371=" ",K370=" "),"",IF(OR(L371&gt;VLOOKUP(K371,D!$G$4:$I$16,3,0),AND(K371=K370,L371&lt;=L370),VLOOKUP(K371,D!$G$4:$H$16,2,0)&lt;VLOOKUP(K370,D!$G$4:$H$16,2,0)),"Must correct date!",""))</f>
        <v/>
      </c>
      <c r="L372" s="263"/>
      <c r="N372" s="262"/>
      <c r="O372" s="263" t="str">
        <f>IF(AND(O371=" ",O370=" "),"",IF(OR(P371&gt;VLOOKUP(O371,D!$G$4:$I$16,3,0),AND(O371=O370,P371&lt;=P370),VLOOKUP(O371,D!$G$4:$H$16,2,0)&lt;VLOOKUP(O370,D!$G$4:$H$16,2,0)),"Must correct date!",""))</f>
        <v/>
      </c>
      <c r="P372" s="263"/>
      <c r="R372" s="262"/>
      <c r="S372" s="265" t="str">
        <f>IF(AND(S371=" ",S370=" "),"",IF(OR(T371&gt;VLOOKUP(S371,D!$G$4:$I$16,3,0),AND(S371=S370,T371&lt;=T370),VLOOKUP(S371,D!$G$4:$H$16,2,0)&lt;VLOOKUP(S370,D!$G$4:$H$16,2,0)),"Must correct date!",""))</f>
        <v/>
      </c>
      <c r="T372" s="265"/>
      <c r="U372" s="243"/>
      <c r="X372" s="273"/>
      <c r="Y372" s="273"/>
      <c r="Z372" s="273"/>
      <c r="AB372" s="273"/>
      <c r="AC372" s="273"/>
      <c r="AD372" s="273"/>
      <c r="AF372" s="273"/>
      <c r="AG372" s="273"/>
      <c r="AH372" s="273"/>
      <c r="AJ372" s="273"/>
      <c r="AK372" s="273"/>
      <c r="AL372" s="273"/>
    </row>
    <row r="373" spans="1:38">
      <c r="A373" s="9"/>
      <c r="B373" s="260"/>
      <c r="C373" s="293"/>
      <c r="D373" s="294"/>
      <c r="E373" s="294"/>
      <c r="F373" s="267" t="s">
        <v>389</v>
      </c>
      <c r="G373" s="295" t="s">
        <v>437</v>
      </c>
      <c r="H373" s="295"/>
      <c r="I373" s="296"/>
      <c r="J373" s="267" t="str">
        <f t="shared" ref="J373:J382" si="29">$F373</f>
        <v>SUN:</v>
      </c>
      <c r="K373" s="295"/>
      <c r="L373" s="295"/>
      <c r="M373" s="296"/>
      <c r="N373" s="267" t="s">
        <v>389</v>
      </c>
      <c r="O373" s="295"/>
      <c r="P373" s="295"/>
      <c r="Q373" s="296"/>
      <c r="R373" s="267" t="s">
        <v>391</v>
      </c>
      <c r="S373" s="297"/>
      <c r="T373" s="297"/>
      <c r="U373" s="243"/>
      <c r="X373" s="273"/>
      <c r="Y373" s="273"/>
      <c r="Z373" s="273"/>
      <c r="AB373" s="273"/>
      <c r="AC373" s="273"/>
      <c r="AD373" s="273"/>
      <c r="AF373" s="273"/>
      <c r="AG373" s="273"/>
      <c r="AH373" s="273"/>
      <c r="AJ373" s="273"/>
      <c r="AK373" s="273"/>
      <c r="AL373" s="273"/>
    </row>
    <row r="374" spans="1:38">
      <c r="A374" s="9"/>
      <c r="B374" s="260"/>
      <c r="C374" s="293"/>
      <c r="D374" s="294"/>
      <c r="E374" s="294"/>
      <c r="F374" s="267" t="s">
        <v>396</v>
      </c>
      <c r="G374" s="295" t="s">
        <v>437</v>
      </c>
      <c r="H374" s="295"/>
      <c r="J374" s="267" t="str">
        <f t="shared" si="29"/>
        <v>MON:</v>
      </c>
      <c r="K374" s="295"/>
      <c r="L374" s="295"/>
      <c r="M374" s="296"/>
      <c r="N374" s="267" t="s">
        <v>396</v>
      </c>
      <c r="O374" s="295"/>
      <c r="P374" s="295"/>
      <c r="Q374" s="296"/>
      <c r="R374" s="267" t="s">
        <v>397</v>
      </c>
      <c r="S374" s="297"/>
      <c r="T374" s="297"/>
      <c r="U374" s="243"/>
      <c r="X374" s="273"/>
      <c r="Y374" s="273"/>
      <c r="Z374" s="273"/>
      <c r="AB374" s="273"/>
      <c r="AC374" s="273"/>
      <c r="AD374" s="273"/>
      <c r="AF374" s="273"/>
      <c r="AG374" s="273"/>
      <c r="AH374" s="273"/>
      <c r="AJ374" s="273"/>
      <c r="AK374" s="273"/>
      <c r="AL374" s="273"/>
    </row>
    <row r="375" spans="1:38" ht="28.5">
      <c r="A375" s="9"/>
      <c r="B375" s="260"/>
      <c r="C375" s="298" t="s">
        <v>387</v>
      </c>
      <c r="D375" s="294"/>
      <c r="E375" s="294"/>
      <c r="F375" s="267" t="s">
        <v>402</v>
      </c>
      <c r="G375" s="295" t="s">
        <v>437</v>
      </c>
      <c r="H375" s="295"/>
      <c r="J375" s="267" t="str">
        <f t="shared" si="29"/>
        <v>TUE:</v>
      </c>
      <c r="K375" s="295"/>
      <c r="L375" s="295"/>
      <c r="M375" s="296"/>
      <c r="N375" s="267" t="s">
        <v>402</v>
      </c>
      <c r="O375" s="295"/>
      <c r="P375" s="295"/>
      <c r="Q375" s="296"/>
      <c r="R375" s="267" t="s">
        <v>403</v>
      </c>
      <c r="S375" s="297"/>
      <c r="T375" s="297"/>
      <c r="U375" s="243"/>
      <c r="X375" s="273"/>
      <c r="Y375" s="273"/>
      <c r="Z375" s="273"/>
      <c r="AB375" s="273"/>
      <c r="AC375" s="273"/>
      <c r="AD375" s="273"/>
      <c r="AF375" s="273"/>
      <c r="AG375" s="273"/>
      <c r="AH375" s="273"/>
      <c r="AJ375" s="273"/>
      <c r="AK375" s="273"/>
      <c r="AL375" s="273"/>
    </row>
    <row r="376" spans="1:38">
      <c r="A376" s="9"/>
      <c r="B376" s="260"/>
      <c r="C376" s="298"/>
      <c r="D376" s="294"/>
      <c r="E376" s="294"/>
      <c r="F376" s="267" t="s">
        <v>407</v>
      </c>
      <c r="G376" s="295" t="s">
        <v>437</v>
      </c>
      <c r="H376" s="295"/>
      <c r="J376" s="267" t="str">
        <f t="shared" si="29"/>
        <v>WED:</v>
      </c>
      <c r="K376" s="295"/>
      <c r="L376" s="295"/>
      <c r="M376" s="296"/>
      <c r="N376" s="267" t="s">
        <v>407</v>
      </c>
      <c r="O376" s="295"/>
      <c r="P376" s="295"/>
      <c r="Q376" s="296"/>
      <c r="R376" s="267" t="s">
        <v>408</v>
      </c>
      <c r="S376" s="297"/>
      <c r="T376" s="297"/>
      <c r="U376" s="243"/>
      <c r="X376" s="273"/>
      <c r="Y376" s="273"/>
      <c r="Z376" s="273"/>
      <c r="AB376" s="273"/>
      <c r="AC376" s="273"/>
      <c r="AD376" s="273"/>
      <c r="AF376" s="273"/>
      <c r="AG376" s="273"/>
      <c r="AH376" s="273"/>
      <c r="AJ376" s="273"/>
      <c r="AK376" s="273"/>
      <c r="AL376" s="273"/>
    </row>
    <row r="377" spans="1:38" ht="24">
      <c r="A377" s="9"/>
      <c r="B377" s="260"/>
      <c r="C377" s="274" t="s">
        <v>410</v>
      </c>
      <c r="D377" s="294"/>
      <c r="E377" s="294"/>
      <c r="F377" s="267" t="s">
        <v>411</v>
      </c>
      <c r="G377" s="295" t="s">
        <v>437</v>
      </c>
      <c r="H377" s="295"/>
      <c r="J377" s="267" t="str">
        <f t="shared" si="29"/>
        <v>THU:</v>
      </c>
      <c r="K377" s="295"/>
      <c r="L377" s="295"/>
      <c r="M377" s="296"/>
      <c r="N377" s="267" t="s">
        <v>411</v>
      </c>
      <c r="O377" s="295"/>
      <c r="P377" s="295"/>
      <c r="Q377" s="296"/>
      <c r="R377" s="267" t="s">
        <v>412</v>
      </c>
      <c r="S377" s="297"/>
      <c r="T377" s="297"/>
      <c r="U377" s="243"/>
      <c r="X377" s="273"/>
      <c r="Y377" s="273"/>
      <c r="Z377" s="273"/>
      <c r="AB377" s="273"/>
      <c r="AC377" s="273"/>
      <c r="AD377" s="273"/>
      <c r="AF377" s="273"/>
      <c r="AG377" s="273"/>
      <c r="AH377" s="273"/>
      <c r="AJ377" s="273"/>
      <c r="AK377" s="273"/>
      <c r="AL377" s="273"/>
    </row>
    <row r="378" spans="1:38">
      <c r="A378" s="9"/>
      <c r="B378" s="260"/>
      <c r="C378" s="274"/>
      <c r="D378" s="294"/>
      <c r="E378" s="294"/>
      <c r="F378" s="267" t="s">
        <v>414</v>
      </c>
      <c r="G378" s="295" t="s">
        <v>437</v>
      </c>
      <c r="H378" s="295"/>
      <c r="J378" s="267" t="str">
        <f t="shared" si="29"/>
        <v>FRI:</v>
      </c>
      <c r="K378" s="295"/>
      <c r="L378" s="295"/>
      <c r="M378" s="296"/>
      <c r="N378" s="267" t="s">
        <v>414</v>
      </c>
      <c r="O378" s="295"/>
      <c r="P378" s="295"/>
      <c r="Q378" s="296"/>
      <c r="R378" s="267" t="s">
        <v>415</v>
      </c>
      <c r="S378" s="297"/>
      <c r="T378" s="297"/>
      <c r="U378" s="243"/>
      <c r="X378" s="273"/>
      <c r="Y378" s="273"/>
      <c r="Z378" s="273"/>
      <c r="AB378" s="273"/>
      <c r="AC378" s="273"/>
      <c r="AD378" s="273"/>
      <c r="AF378" s="273"/>
      <c r="AG378" s="273"/>
      <c r="AH378" s="273"/>
      <c r="AJ378" s="273"/>
      <c r="AK378" s="273"/>
      <c r="AL378" s="273"/>
    </row>
    <row r="379" spans="1:38">
      <c r="A379" s="9"/>
      <c r="B379" s="260"/>
      <c r="C379" s="238" t="str">
        <f>IF(AND(C375="Other",OR(D379=" ",D379="")),"Select Type →",IF(AND(NOT(C375="Other"),AND(NOT(D379=" "),NOT(D379=""))),"Deselect Type→",VLOOKUP(C375,$BL$6:$BM$19,2,0)))</f>
        <v>On/Off</v>
      </c>
      <c r="D379" s="299"/>
      <c r="E379" s="299"/>
      <c r="F379" s="267" t="s">
        <v>418</v>
      </c>
      <c r="G379" s="295" t="s">
        <v>437</v>
      </c>
      <c r="H379" s="295"/>
      <c r="J379" s="267" t="str">
        <f t="shared" si="29"/>
        <v>SAT:</v>
      </c>
      <c r="K379" s="295"/>
      <c r="L379" s="295"/>
      <c r="M379" s="296"/>
      <c r="N379" s="267" t="s">
        <v>418</v>
      </c>
      <c r="O379" s="295"/>
      <c r="P379" s="295"/>
      <c r="Q379" s="296"/>
      <c r="R379" s="267" t="s">
        <v>419</v>
      </c>
      <c r="S379" s="297"/>
      <c r="T379" s="297"/>
      <c r="U379" s="243"/>
      <c r="X379" s="273"/>
      <c r="Y379" s="273"/>
      <c r="Z379" s="273"/>
      <c r="AB379" s="273"/>
      <c r="AC379" s="273"/>
      <c r="AD379" s="273"/>
      <c r="AF379" s="273"/>
      <c r="AG379" s="273"/>
      <c r="AH379" s="273"/>
      <c r="AJ379" s="273"/>
      <c r="AK379" s="273"/>
      <c r="AL379" s="273"/>
    </row>
    <row r="380" spans="1:38">
      <c r="A380" s="9"/>
      <c r="B380" s="260"/>
      <c r="C380" s="238"/>
      <c r="D380" s="299"/>
      <c r="E380" s="299"/>
      <c r="F380" s="267" t="s">
        <v>421</v>
      </c>
      <c r="G380" s="295" t="s">
        <v>437</v>
      </c>
      <c r="H380" s="295"/>
      <c r="J380" s="267" t="str">
        <f t="shared" si="29"/>
        <v>HOL:</v>
      </c>
      <c r="K380" s="295"/>
      <c r="L380" s="295"/>
      <c r="M380" s="296"/>
      <c r="N380" s="267" t="s">
        <v>421</v>
      </c>
      <c r="O380" s="295"/>
      <c r="P380" s="295"/>
      <c r="Q380" s="296"/>
      <c r="R380" s="267" t="s">
        <v>391</v>
      </c>
      <c r="S380" s="297"/>
      <c r="T380" s="297"/>
      <c r="U380" s="243"/>
      <c r="X380" s="273"/>
      <c r="Y380" s="273"/>
      <c r="Z380" s="273"/>
      <c r="AB380" s="273"/>
      <c r="AC380" s="273"/>
      <c r="AD380" s="273"/>
      <c r="AF380" s="273"/>
      <c r="AG380" s="273"/>
      <c r="AH380" s="273"/>
      <c r="AJ380" s="273"/>
      <c r="AK380" s="273"/>
      <c r="AL380" s="273"/>
    </row>
    <row r="381" spans="1:38">
      <c r="A381" s="9"/>
      <c r="B381" s="260"/>
      <c r="C381" s="300"/>
      <c r="D381" s="300"/>
      <c r="E381" s="300"/>
      <c r="F381" s="267" t="s">
        <v>424</v>
      </c>
      <c r="G381" s="295" t="s">
        <v>438</v>
      </c>
      <c r="H381" s="295"/>
      <c r="J381" s="267" t="str">
        <f t="shared" si="29"/>
        <v>HDD:</v>
      </c>
      <c r="K381" s="295"/>
      <c r="L381" s="295"/>
      <c r="M381" s="296"/>
      <c r="N381" s="267" t="s">
        <v>424</v>
      </c>
      <c r="O381" s="295"/>
      <c r="P381" s="295"/>
      <c r="Q381" s="296"/>
      <c r="R381" s="267" t="s">
        <v>426</v>
      </c>
      <c r="S381" s="297"/>
      <c r="T381" s="297"/>
      <c r="U381" s="243"/>
    </row>
    <row r="382" spans="1:38">
      <c r="A382" s="9"/>
      <c r="B382" s="260"/>
      <c r="C382" s="300"/>
      <c r="D382" s="300"/>
      <c r="E382" s="300"/>
      <c r="F382" s="267" t="s">
        <v>429</v>
      </c>
      <c r="G382" s="295" t="s">
        <v>439</v>
      </c>
      <c r="H382" s="295"/>
      <c r="I382" s="296"/>
      <c r="J382" s="267" t="str">
        <f t="shared" si="29"/>
        <v>CDD:</v>
      </c>
      <c r="K382" s="295"/>
      <c r="L382" s="295"/>
      <c r="M382" s="296"/>
      <c r="N382" s="267" t="s">
        <v>429</v>
      </c>
      <c r="O382" s="295"/>
      <c r="P382" s="295"/>
      <c r="Q382" s="296"/>
      <c r="R382" s="267" t="s">
        <v>431</v>
      </c>
      <c r="S382" s="297"/>
      <c r="T382" s="297"/>
      <c r="U382" s="243"/>
    </row>
    <row r="383" spans="1:38">
      <c r="A383" s="9"/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43"/>
    </row>
    <row r="384" spans="1:38" ht="28.5">
      <c r="A384" s="9">
        <f>A370+1</f>
        <v>28</v>
      </c>
      <c r="B384" s="282" t="s">
        <v>376</v>
      </c>
      <c r="C384" s="287" t="s">
        <v>435</v>
      </c>
      <c r="D384" s="287"/>
      <c r="E384" s="287"/>
      <c r="F384" s="249" t="s">
        <v>378</v>
      </c>
      <c r="G384" s="288" t="s">
        <v>379</v>
      </c>
      <c r="H384" s="289">
        <v>1</v>
      </c>
      <c r="I384" s="289"/>
      <c r="J384" s="249" t="s">
        <v>378</v>
      </c>
      <c r="K384" s="290" t="str">
        <f>IF(AND(G385="December",H385=31)," ",IF(VLOOKUP(G385,D!$G$5:$I$16,3,0)=H385,LOOKUP(VLOOKUP(G385,D!$G$4:$H$16,2,0)+1,D!$H$4:$H$16,D!$G$4:$G$16),G385))</f>
        <v>January</v>
      </c>
      <c r="L384" s="289">
        <f>IF(K384=" "," ",IF(K384=G385,H385+1,1))</f>
        <v>29</v>
      </c>
      <c r="M384" s="289"/>
      <c r="N384" s="249" t="s">
        <v>378</v>
      </c>
      <c r="O384" s="288" t="str">
        <f>IF(OR(K385=" ",AND(K385="December",L385=31))," ",IF(VLOOKUP(K385,D!$G$5:$I$16,3,0)=L385,LOOKUP(VLOOKUP(K385,D!$G$4:$H$16,2,0)+1,D!$H$4:$H$16,D!$G$4:$G$16),K385))</f>
        <v>June</v>
      </c>
      <c r="P384" s="289">
        <f>IF(O384=" "," ",IF(O384=K385,L385+1,1))</f>
        <v>9</v>
      </c>
      <c r="Q384" s="289"/>
      <c r="R384" s="249" t="s">
        <v>378</v>
      </c>
      <c r="S384" s="288" t="str">
        <f>IF(OR(O385=" ",AND(O385="December",P385=31))," ",IF(VLOOKUP(O385,D!$G$5:$I$16,3,0)=P385,LOOKUP(VLOOKUP(O385,D!$G$4:$H$16,2,0)+1,D!$H$4:$H$16,D!$G$4:$G$16),O385))</f>
        <v>September</v>
      </c>
      <c r="T384" s="289">
        <f>IF(S384=" "," ",IF(S384=O385,P385+1,1))</f>
        <v>9</v>
      </c>
      <c r="U384" s="243"/>
    </row>
    <row r="385" spans="1:38" ht="28.5">
      <c r="A385" s="9"/>
      <c r="B385" s="282"/>
      <c r="C385" s="287"/>
      <c r="D385" s="287"/>
      <c r="E385" s="287"/>
      <c r="F385" s="255" t="s">
        <v>380</v>
      </c>
      <c r="G385" s="291" t="s">
        <v>379</v>
      </c>
      <c r="H385" s="292">
        <v>28</v>
      </c>
      <c r="I385" s="292"/>
      <c r="J385" s="255" t="s">
        <v>380</v>
      </c>
      <c r="K385" s="291" t="s">
        <v>383</v>
      </c>
      <c r="L385" s="292">
        <v>8</v>
      </c>
      <c r="M385" s="292"/>
      <c r="N385" s="255" t="s">
        <v>380</v>
      </c>
      <c r="O385" s="291" t="s">
        <v>436</v>
      </c>
      <c r="P385" s="292">
        <v>8</v>
      </c>
      <c r="Q385" s="292"/>
      <c r="R385" s="255" t="s">
        <v>380</v>
      </c>
      <c r="S385" s="291" t="s">
        <v>384</v>
      </c>
      <c r="T385" s="292">
        <v>31</v>
      </c>
      <c r="U385" s="243"/>
      <c r="X385" s="273"/>
      <c r="Y385" s="273"/>
      <c r="Z385" s="273"/>
      <c r="AB385" s="273"/>
      <c r="AC385" s="273"/>
      <c r="AD385" s="273"/>
      <c r="AF385" s="273"/>
      <c r="AG385" s="273"/>
      <c r="AH385" s="273"/>
      <c r="AJ385" s="273"/>
      <c r="AK385" s="273"/>
      <c r="AL385" s="273"/>
    </row>
    <row r="386" spans="1:38">
      <c r="A386" s="9"/>
      <c r="B386" s="260"/>
      <c r="C386" s="293" t="s">
        <v>395</v>
      </c>
      <c r="D386" s="294"/>
      <c r="E386" s="294"/>
      <c r="F386" s="262"/>
      <c r="G386" s="263" t="str">
        <f>IF(OR(H385&gt;VLOOKUP(G385,D!$G$4:$I$16,3,0),AND(G385=G384,H385&lt;=H384),VLOOKUP(G385,D!$G$4:$H$16,2,0)&lt;VLOOKUP(G384,D!$G$4:$H$16,2,0)),"Must correct date!","")</f>
        <v/>
      </c>
      <c r="H386" s="263"/>
      <c r="J386" s="262"/>
      <c r="K386" s="263" t="str">
        <f>IF(AND(K385=" ",K384=" "),"",IF(OR(L385&gt;VLOOKUP(K385,D!$G$4:$I$16,3,0),AND(K385=K384,L385&lt;=L384),VLOOKUP(K385,D!$G$4:$H$16,2,0)&lt;VLOOKUP(K384,D!$G$4:$H$16,2,0)),"Must correct date!",""))</f>
        <v/>
      </c>
      <c r="L386" s="263"/>
      <c r="N386" s="262"/>
      <c r="O386" s="263" t="str">
        <f>IF(AND(O385=" ",O384=" "),"",IF(OR(P385&gt;VLOOKUP(O385,D!$G$4:$I$16,3,0),AND(O385=O384,P385&lt;=P384),VLOOKUP(O385,D!$G$4:$H$16,2,0)&lt;VLOOKUP(O384,D!$G$4:$H$16,2,0)),"Must correct date!",""))</f>
        <v/>
      </c>
      <c r="P386" s="263"/>
      <c r="R386" s="262"/>
      <c r="S386" s="265" t="str">
        <f>IF(AND(S385=" ",S384=" "),"",IF(OR(T385&gt;VLOOKUP(S385,D!$G$4:$I$16,3,0),AND(S385=S384,T385&lt;=T384),VLOOKUP(S385,D!$G$4:$H$16,2,0)&lt;VLOOKUP(S384,D!$G$4:$H$16,2,0)),"Must correct date!",""))</f>
        <v/>
      </c>
      <c r="T386" s="265"/>
      <c r="U386" s="243"/>
      <c r="X386" s="273"/>
      <c r="Y386" s="273"/>
      <c r="Z386" s="273"/>
      <c r="AB386" s="273"/>
      <c r="AC386" s="273"/>
      <c r="AD386" s="273"/>
      <c r="AF386" s="273"/>
      <c r="AG386" s="273"/>
      <c r="AH386" s="273"/>
      <c r="AJ386" s="273"/>
      <c r="AK386" s="273"/>
      <c r="AL386" s="273"/>
    </row>
    <row r="387" spans="1:38">
      <c r="A387" s="9"/>
      <c r="B387" s="260"/>
      <c r="C387" s="293"/>
      <c r="D387" s="294"/>
      <c r="E387" s="294"/>
      <c r="F387" s="267" t="s">
        <v>389</v>
      </c>
      <c r="G387" s="295" t="s">
        <v>437</v>
      </c>
      <c r="H387" s="295"/>
      <c r="I387" s="296"/>
      <c r="J387" s="267" t="str">
        <f t="shared" ref="J387:J396" si="30">$F387</f>
        <v>SUN:</v>
      </c>
      <c r="K387" s="295"/>
      <c r="L387" s="295"/>
      <c r="M387" s="296"/>
      <c r="N387" s="267" t="s">
        <v>389</v>
      </c>
      <c r="O387" s="295"/>
      <c r="P387" s="295"/>
      <c r="Q387" s="296"/>
      <c r="R387" s="267" t="s">
        <v>391</v>
      </c>
      <c r="S387" s="297"/>
      <c r="T387" s="297"/>
      <c r="U387" s="243"/>
      <c r="X387" s="273"/>
      <c r="Y387" s="273"/>
      <c r="Z387" s="273"/>
      <c r="AB387" s="273"/>
      <c r="AC387" s="273"/>
      <c r="AD387" s="273"/>
      <c r="AF387" s="273"/>
      <c r="AG387" s="273"/>
      <c r="AH387" s="273"/>
      <c r="AJ387" s="273"/>
      <c r="AK387" s="273"/>
      <c r="AL387" s="273"/>
    </row>
    <row r="388" spans="1:38">
      <c r="A388" s="9"/>
      <c r="B388" s="260"/>
      <c r="C388" s="293"/>
      <c r="D388" s="294"/>
      <c r="E388" s="294"/>
      <c r="F388" s="267" t="s">
        <v>396</v>
      </c>
      <c r="G388" s="295" t="s">
        <v>437</v>
      </c>
      <c r="H388" s="295"/>
      <c r="J388" s="267" t="str">
        <f t="shared" si="30"/>
        <v>MON:</v>
      </c>
      <c r="K388" s="295"/>
      <c r="L388" s="295"/>
      <c r="M388" s="296"/>
      <c r="N388" s="267" t="s">
        <v>396</v>
      </c>
      <c r="O388" s="295"/>
      <c r="P388" s="295"/>
      <c r="Q388" s="296"/>
      <c r="R388" s="267" t="s">
        <v>397</v>
      </c>
      <c r="S388" s="297"/>
      <c r="T388" s="297"/>
      <c r="U388" s="243"/>
      <c r="X388" s="273"/>
      <c r="Y388" s="273"/>
      <c r="Z388" s="273"/>
      <c r="AB388" s="273"/>
      <c r="AC388" s="273"/>
      <c r="AD388" s="273"/>
      <c r="AF388" s="273"/>
      <c r="AG388" s="273"/>
      <c r="AH388" s="273"/>
      <c r="AJ388" s="273"/>
      <c r="AK388" s="273"/>
      <c r="AL388" s="273"/>
    </row>
    <row r="389" spans="1:38" ht="28.5">
      <c r="A389" s="9"/>
      <c r="B389" s="260"/>
      <c r="C389" s="298" t="s">
        <v>387</v>
      </c>
      <c r="D389" s="294"/>
      <c r="E389" s="294"/>
      <c r="F389" s="267" t="s">
        <v>402</v>
      </c>
      <c r="G389" s="295" t="s">
        <v>437</v>
      </c>
      <c r="H389" s="295"/>
      <c r="J389" s="267" t="str">
        <f t="shared" si="30"/>
        <v>TUE:</v>
      </c>
      <c r="K389" s="295"/>
      <c r="L389" s="295"/>
      <c r="M389" s="296"/>
      <c r="N389" s="267" t="s">
        <v>402</v>
      </c>
      <c r="O389" s="295"/>
      <c r="P389" s="295"/>
      <c r="Q389" s="296"/>
      <c r="R389" s="267" t="s">
        <v>403</v>
      </c>
      <c r="S389" s="297"/>
      <c r="T389" s="297"/>
      <c r="U389" s="243"/>
      <c r="X389" s="273"/>
      <c r="Y389" s="273"/>
      <c r="Z389" s="273"/>
      <c r="AB389" s="273"/>
      <c r="AC389" s="273"/>
      <c r="AD389" s="273"/>
      <c r="AF389" s="273"/>
      <c r="AG389" s="273"/>
      <c r="AH389" s="273"/>
      <c r="AJ389" s="273"/>
      <c r="AK389" s="273"/>
      <c r="AL389" s="273"/>
    </row>
    <row r="390" spans="1:38">
      <c r="A390" s="9"/>
      <c r="B390" s="260"/>
      <c r="C390" s="298"/>
      <c r="D390" s="294"/>
      <c r="E390" s="294"/>
      <c r="F390" s="267" t="s">
        <v>407</v>
      </c>
      <c r="G390" s="295" t="s">
        <v>437</v>
      </c>
      <c r="H390" s="295"/>
      <c r="J390" s="267" t="str">
        <f t="shared" si="30"/>
        <v>WED:</v>
      </c>
      <c r="K390" s="295"/>
      <c r="L390" s="295"/>
      <c r="M390" s="296"/>
      <c r="N390" s="267" t="s">
        <v>407</v>
      </c>
      <c r="O390" s="295"/>
      <c r="P390" s="295"/>
      <c r="Q390" s="296"/>
      <c r="R390" s="267" t="s">
        <v>408</v>
      </c>
      <c r="S390" s="297"/>
      <c r="T390" s="297"/>
      <c r="U390" s="243"/>
      <c r="X390" s="273"/>
      <c r="Y390" s="273"/>
      <c r="Z390" s="273"/>
      <c r="AB390" s="273"/>
      <c r="AC390" s="273"/>
      <c r="AD390" s="273"/>
      <c r="AF390" s="273"/>
      <c r="AG390" s="273"/>
      <c r="AH390" s="273"/>
      <c r="AJ390" s="273"/>
      <c r="AK390" s="273"/>
      <c r="AL390" s="273"/>
    </row>
    <row r="391" spans="1:38" ht="24">
      <c r="A391" s="9"/>
      <c r="B391" s="260"/>
      <c r="C391" s="274" t="s">
        <v>410</v>
      </c>
      <c r="D391" s="294"/>
      <c r="E391" s="294"/>
      <c r="F391" s="267" t="s">
        <v>411</v>
      </c>
      <c r="G391" s="295" t="s">
        <v>437</v>
      </c>
      <c r="H391" s="295"/>
      <c r="J391" s="267" t="str">
        <f t="shared" si="30"/>
        <v>THU:</v>
      </c>
      <c r="K391" s="295"/>
      <c r="L391" s="295"/>
      <c r="M391" s="296"/>
      <c r="N391" s="267" t="s">
        <v>411</v>
      </c>
      <c r="O391" s="295"/>
      <c r="P391" s="295"/>
      <c r="Q391" s="296"/>
      <c r="R391" s="267" t="s">
        <v>412</v>
      </c>
      <c r="S391" s="297"/>
      <c r="T391" s="297"/>
      <c r="U391" s="243"/>
      <c r="X391" s="273"/>
      <c r="Y391" s="273"/>
      <c r="Z391" s="273"/>
      <c r="AB391" s="273"/>
      <c r="AC391" s="273"/>
      <c r="AD391" s="273"/>
      <c r="AF391" s="273"/>
      <c r="AG391" s="273"/>
      <c r="AH391" s="273"/>
      <c r="AJ391" s="273"/>
      <c r="AK391" s="273"/>
      <c r="AL391" s="273"/>
    </row>
    <row r="392" spans="1:38">
      <c r="A392" s="9"/>
      <c r="B392" s="260"/>
      <c r="C392" s="274"/>
      <c r="D392" s="294"/>
      <c r="E392" s="294"/>
      <c r="F392" s="267" t="s">
        <v>414</v>
      </c>
      <c r="G392" s="295" t="s">
        <v>437</v>
      </c>
      <c r="H392" s="295"/>
      <c r="J392" s="267" t="str">
        <f t="shared" si="30"/>
        <v>FRI:</v>
      </c>
      <c r="K392" s="295"/>
      <c r="L392" s="295"/>
      <c r="M392" s="296"/>
      <c r="N392" s="267" t="s">
        <v>414</v>
      </c>
      <c r="O392" s="295"/>
      <c r="P392" s="295"/>
      <c r="Q392" s="296"/>
      <c r="R392" s="267" t="s">
        <v>415</v>
      </c>
      <c r="S392" s="297"/>
      <c r="T392" s="297"/>
      <c r="U392" s="243"/>
      <c r="X392" s="273"/>
      <c r="Y392" s="273"/>
      <c r="Z392" s="273"/>
      <c r="AB392" s="273"/>
      <c r="AC392" s="273"/>
      <c r="AD392" s="273"/>
      <c r="AF392" s="273"/>
      <c r="AG392" s="273"/>
      <c r="AH392" s="273"/>
      <c r="AJ392" s="273"/>
      <c r="AK392" s="273"/>
      <c r="AL392" s="273"/>
    </row>
    <row r="393" spans="1:38">
      <c r="A393" s="9"/>
      <c r="B393" s="260"/>
      <c r="C393" s="238" t="str">
        <f>IF(AND(C389="Other",OR(D393=" ",D393="")),"Select Type →",IF(AND(NOT(C389="Other"),AND(NOT(D393=" "),NOT(D393=""))),"Deselect Type→",VLOOKUP(C389,$BL$6:$BM$19,2,0)))</f>
        <v>On/Off</v>
      </c>
      <c r="D393" s="299"/>
      <c r="E393" s="299"/>
      <c r="F393" s="267" t="s">
        <v>418</v>
      </c>
      <c r="G393" s="295" t="s">
        <v>437</v>
      </c>
      <c r="H393" s="295"/>
      <c r="J393" s="267" t="str">
        <f t="shared" si="30"/>
        <v>SAT:</v>
      </c>
      <c r="K393" s="295"/>
      <c r="L393" s="295"/>
      <c r="M393" s="296"/>
      <c r="N393" s="267" t="s">
        <v>418</v>
      </c>
      <c r="O393" s="295"/>
      <c r="P393" s="295"/>
      <c r="Q393" s="296"/>
      <c r="R393" s="267" t="s">
        <v>419</v>
      </c>
      <c r="S393" s="297"/>
      <c r="T393" s="297"/>
      <c r="U393" s="243"/>
      <c r="X393" s="273"/>
      <c r="Y393" s="273"/>
      <c r="Z393" s="273"/>
      <c r="AB393" s="273"/>
      <c r="AC393" s="273"/>
      <c r="AD393" s="273"/>
      <c r="AF393" s="273"/>
      <c r="AG393" s="273"/>
      <c r="AH393" s="273"/>
      <c r="AJ393" s="273"/>
      <c r="AK393" s="273"/>
      <c r="AL393" s="273"/>
    </row>
    <row r="394" spans="1:38">
      <c r="A394" s="9"/>
      <c r="B394" s="260"/>
      <c r="C394" s="238"/>
      <c r="D394" s="299"/>
      <c r="E394" s="299"/>
      <c r="F394" s="267" t="s">
        <v>421</v>
      </c>
      <c r="G394" s="295" t="s">
        <v>437</v>
      </c>
      <c r="H394" s="295"/>
      <c r="J394" s="267" t="str">
        <f t="shared" si="30"/>
        <v>HOL:</v>
      </c>
      <c r="K394" s="295"/>
      <c r="L394" s="295"/>
      <c r="M394" s="296"/>
      <c r="N394" s="267" t="s">
        <v>421</v>
      </c>
      <c r="O394" s="295"/>
      <c r="P394" s="295"/>
      <c r="Q394" s="296"/>
      <c r="R394" s="267" t="s">
        <v>391</v>
      </c>
      <c r="S394" s="297"/>
      <c r="T394" s="297"/>
      <c r="U394" s="243"/>
      <c r="X394" s="273"/>
      <c r="Y394" s="273"/>
      <c r="Z394" s="273"/>
      <c r="AB394" s="273"/>
      <c r="AC394" s="273"/>
      <c r="AD394" s="273"/>
      <c r="AF394" s="273"/>
      <c r="AG394" s="273"/>
      <c r="AH394" s="273"/>
      <c r="AJ394" s="273"/>
      <c r="AK394" s="273"/>
      <c r="AL394" s="273"/>
    </row>
    <row r="395" spans="1:38">
      <c r="A395" s="9"/>
      <c r="B395" s="260"/>
      <c r="C395" s="300"/>
      <c r="D395" s="300"/>
      <c r="E395" s="300"/>
      <c r="F395" s="267" t="s">
        <v>424</v>
      </c>
      <c r="G395" s="295" t="s">
        <v>438</v>
      </c>
      <c r="H395" s="295"/>
      <c r="J395" s="267" t="str">
        <f t="shared" si="30"/>
        <v>HDD:</v>
      </c>
      <c r="K395" s="295"/>
      <c r="L395" s="295"/>
      <c r="M395" s="296"/>
      <c r="N395" s="267" t="s">
        <v>424</v>
      </c>
      <c r="O395" s="295"/>
      <c r="P395" s="295"/>
      <c r="Q395" s="296"/>
      <c r="R395" s="267" t="s">
        <v>426</v>
      </c>
      <c r="S395" s="297"/>
      <c r="T395" s="297"/>
      <c r="U395" s="243"/>
    </row>
    <row r="396" spans="1:38">
      <c r="A396" s="9"/>
      <c r="B396" s="260"/>
      <c r="C396" s="300"/>
      <c r="D396" s="300"/>
      <c r="E396" s="300"/>
      <c r="F396" s="267" t="s">
        <v>429</v>
      </c>
      <c r="G396" s="295" t="s">
        <v>439</v>
      </c>
      <c r="H396" s="295"/>
      <c r="I396" s="296"/>
      <c r="J396" s="267" t="str">
        <f t="shared" si="30"/>
        <v>CDD:</v>
      </c>
      <c r="K396" s="295"/>
      <c r="L396" s="295"/>
      <c r="M396" s="296"/>
      <c r="N396" s="267" t="s">
        <v>429</v>
      </c>
      <c r="O396" s="295"/>
      <c r="P396" s="295"/>
      <c r="Q396" s="296"/>
      <c r="R396" s="267" t="s">
        <v>431</v>
      </c>
      <c r="S396" s="297"/>
      <c r="T396" s="297"/>
      <c r="U396" s="243"/>
    </row>
    <row r="397" spans="1:38">
      <c r="A397" s="9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43"/>
    </row>
    <row r="398" spans="1:38" ht="28.5">
      <c r="A398" s="9">
        <f>A384+1</f>
        <v>29</v>
      </c>
      <c r="B398" s="282" t="s">
        <v>376</v>
      </c>
      <c r="C398" s="287" t="s">
        <v>435</v>
      </c>
      <c r="D398" s="287"/>
      <c r="E398" s="287"/>
      <c r="F398" s="249" t="s">
        <v>378</v>
      </c>
      <c r="G398" s="288" t="s">
        <v>379</v>
      </c>
      <c r="H398" s="289">
        <v>1</v>
      </c>
      <c r="I398" s="289"/>
      <c r="J398" s="249" t="s">
        <v>378</v>
      </c>
      <c r="K398" s="290" t="str">
        <f>IF(AND(G399="December",H399=31)," ",IF(VLOOKUP(G399,D!$G$5:$I$16,3,0)=H399,LOOKUP(VLOOKUP(G399,D!$G$4:$H$16,2,0)+1,D!$H$4:$H$16,D!$G$4:$G$16),G399))</f>
        <v>January</v>
      </c>
      <c r="L398" s="289">
        <f>IF(K398=" "," ",IF(K398=G399,H399+1,1))</f>
        <v>29</v>
      </c>
      <c r="M398" s="289"/>
      <c r="N398" s="249" t="s">
        <v>378</v>
      </c>
      <c r="O398" s="288" t="str">
        <f>IF(OR(K399=" ",AND(K399="December",L399=31))," ",IF(VLOOKUP(K399,D!$G$5:$I$16,3,0)=L399,LOOKUP(VLOOKUP(K399,D!$G$4:$H$16,2,0)+1,D!$H$4:$H$16,D!$G$4:$G$16),K399))</f>
        <v>June</v>
      </c>
      <c r="P398" s="289">
        <f>IF(O398=" "," ",IF(O398=K399,L399+1,1))</f>
        <v>9</v>
      </c>
      <c r="Q398" s="289"/>
      <c r="R398" s="249" t="s">
        <v>378</v>
      </c>
      <c r="S398" s="288" t="str">
        <f>IF(OR(O399=" ",AND(O399="December",P399=31))," ",IF(VLOOKUP(O399,D!$G$5:$I$16,3,0)=P399,LOOKUP(VLOOKUP(O399,D!$G$4:$H$16,2,0)+1,D!$H$4:$H$16,D!$G$4:$G$16),O399))</f>
        <v>September</v>
      </c>
      <c r="T398" s="289">
        <f>IF(S398=" "," ",IF(S398=O399,P399+1,1))</f>
        <v>9</v>
      </c>
      <c r="U398" s="243"/>
    </row>
    <row r="399" spans="1:38" ht="28.5">
      <c r="A399" s="9"/>
      <c r="B399" s="282"/>
      <c r="C399" s="287"/>
      <c r="D399" s="287"/>
      <c r="E399" s="287"/>
      <c r="F399" s="255" t="s">
        <v>380</v>
      </c>
      <c r="G399" s="291" t="s">
        <v>379</v>
      </c>
      <c r="H399" s="292">
        <v>28</v>
      </c>
      <c r="I399" s="292"/>
      <c r="J399" s="255" t="s">
        <v>380</v>
      </c>
      <c r="K399" s="291" t="s">
        <v>383</v>
      </c>
      <c r="L399" s="292">
        <v>8</v>
      </c>
      <c r="M399" s="292"/>
      <c r="N399" s="255" t="s">
        <v>380</v>
      </c>
      <c r="O399" s="291" t="s">
        <v>436</v>
      </c>
      <c r="P399" s="292">
        <v>8</v>
      </c>
      <c r="Q399" s="292"/>
      <c r="R399" s="255" t="s">
        <v>380</v>
      </c>
      <c r="S399" s="291" t="s">
        <v>384</v>
      </c>
      <c r="T399" s="292">
        <v>31</v>
      </c>
      <c r="U399" s="243"/>
      <c r="X399" s="273"/>
      <c r="Y399" s="273"/>
      <c r="Z399" s="273"/>
      <c r="AB399" s="273"/>
      <c r="AC399" s="273"/>
      <c r="AD399" s="273"/>
      <c r="AF399" s="273"/>
      <c r="AG399" s="273"/>
      <c r="AH399" s="273"/>
      <c r="AJ399" s="273"/>
      <c r="AK399" s="273"/>
      <c r="AL399" s="273"/>
    </row>
    <row r="400" spans="1:38">
      <c r="A400" s="9"/>
      <c r="B400" s="260"/>
      <c r="C400" s="293" t="s">
        <v>395</v>
      </c>
      <c r="D400" s="294"/>
      <c r="E400" s="294"/>
      <c r="F400" s="262"/>
      <c r="G400" s="263" t="str">
        <f>IF(OR(H399&gt;VLOOKUP(G399,D!$G$4:$I$16,3,0),AND(G399=G398,H399&lt;=H398),VLOOKUP(G399,D!$G$4:$H$16,2,0)&lt;VLOOKUP(G398,D!$G$4:$H$16,2,0)),"Must correct date!","")</f>
        <v/>
      </c>
      <c r="H400" s="263"/>
      <c r="J400" s="262"/>
      <c r="K400" s="263" t="str">
        <f>IF(AND(K399=" ",K398=" "),"",IF(OR(L399&gt;VLOOKUP(K399,D!$G$4:$I$16,3,0),AND(K399=K398,L399&lt;=L398),VLOOKUP(K399,D!$G$4:$H$16,2,0)&lt;VLOOKUP(K398,D!$G$4:$H$16,2,0)),"Must correct date!",""))</f>
        <v/>
      </c>
      <c r="L400" s="263"/>
      <c r="N400" s="262"/>
      <c r="O400" s="263" t="str">
        <f>IF(AND(O399=" ",O398=" "),"",IF(OR(P399&gt;VLOOKUP(O399,D!$G$4:$I$16,3,0),AND(O399=O398,P399&lt;=P398),VLOOKUP(O399,D!$G$4:$H$16,2,0)&lt;VLOOKUP(O398,D!$G$4:$H$16,2,0)),"Must correct date!",""))</f>
        <v/>
      </c>
      <c r="P400" s="263"/>
      <c r="R400" s="262"/>
      <c r="S400" s="265" t="str">
        <f>IF(AND(S399=" ",S398=" "),"",IF(OR(T399&gt;VLOOKUP(S399,D!$G$4:$I$16,3,0),AND(S399=S398,T399&lt;=T398),VLOOKUP(S399,D!$G$4:$H$16,2,0)&lt;VLOOKUP(S398,D!$G$4:$H$16,2,0)),"Must correct date!",""))</f>
        <v/>
      </c>
      <c r="T400" s="265"/>
      <c r="U400" s="243"/>
      <c r="X400" s="273"/>
      <c r="Y400" s="273"/>
      <c r="Z400" s="273"/>
      <c r="AB400" s="273"/>
      <c r="AC400" s="273"/>
      <c r="AD400" s="273"/>
      <c r="AF400" s="273"/>
      <c r="AG400" s="273"/>
      <c r="AH400" s="273"/>
      <c r="AJ400" s="273"/>
      <c r="AK400" s="273"/>
      <c r="AL400" s="273"/>
    </row>
    <row r="401" spans="1:38">
      <c r="A401" s="9"/>
      <c r="B401" s="260"/>
      <c r="C401" s="293"/>
      <c r="D401" s="294"/>
      <c r="E401" s="294"/>
      <c r="F401" s="267" t="s">
        <v>389</v>
      </c>
      <c r="G401" s="295" t="s">
        <v>437</v>
      </c>
      <c r="H401" s="295"/>
      <c r="I401" s="296"/>
      <c r="J401" s="267" t="str">
        <f t="shared" ref="J401:J410" si="31">$F401</f>
        <v>SUN:</v>
      </c>
      <c r="K401" s="295"/>
      <c r="L401" s="295"/>
      <c r="M401" s="296"/>
      <c r="N401" s="267" t="s">
        <v>389</v>
      </c>
      <c r="O401" s="295"/>
      <c r="P401" s="295"/>
      <c r="Q401" s="296"/>
      <c r="R401" s="267" t="s">
        <v>391</v>
      </c>
      <c r="S401" s="297"/>
      <c r="T401" s="297"/>
      <c r="U401" s="243"/>
      <c r="X401" s="273"/>
      <c r="Y401" s="273"/>
      <c r="Z401" s="273"/>
      <c r="AB401" s="273"/>
      <c r="AC401" s="273"/>
      <c r="AD401" s="273"/>
      <c r="AF401" s="273"/>
      <c r="AG401" s="273"/>
      <c r="AH401" s="273"/>
      <c r="AJ401" s="273"/>
      <c r="AK401" s="273"/>
      <c r="AL401" s="273"/>
    </row>
    <row r="402" spans="1:38">
      <c r="A402" s="9"/>
      <c r="B402" s="260"/>
      <c r="C402" s="293"/>
      <c r="D402" s="294"/>
      <c r="E402" s="294"/>
      <c r="F402" s="267" t="s">
        <v>396</v>
      </c>
      <c r="G402" s="295" t="s">
        <v>437</v>
      </c>
      <c r="H402" s="295"/>
      <c r="J402" s="267" t="str">
        <f t="shared" si="31"/>
        <v>MON:</v>
      </c>
      <c r="K402" s="295"/>
      <c r="L402" s="295"/>
      <c r="M402" s="296"/>
      <c r="N402" s="267" t="s">
        <v>396</v>
      </c>
      <c r="O402" s="295"/>
      <c r="P402" s="295"/>
      <c r="Q402" s="296"/>
      <c r="R402" s="267" t="s">
        <v>397</v>
      </c>
      <c r="S402" s="297"/>
      <c r="T402" s="297"/>
      <c r="U402" s="243"/>
      <c r="X402" s="273"/>
      <c r="Y402" s="273"/>
      <c r="Z402" s="273"/>
      <c r="AB402" s="273"/>
      <c r="AC402" s="273"/>
      <c r="AD402" s="273"/>
      <c r="AF402" s="273"/>
      <c r="AG402" s="273"/>
      <c r="AH402" s="273"/>
      <c r="AJ402" s="273"/>
      <c r="AK402" s="273"/>
      <c r="AL402" s="273"/>
    </row>
    <row r="403" spans="1:38" ht="28.5">
      <c r="A403" s="9"/>
      <c r="B403" s="260"/>
      <c r="C403" s="298" t="s">
        <v>387</v>
      </c>
      <c r="D403" s="294"/>
      <c r="E403" s="294"/>
      <c r="F403" s="267" t="s">
        <v>402</v>
      </c>
      <c r="G403" s="295" t="s">
        <v>437</v>
      </c>
      <c r="H403" s="295"/>
      <c r="J403" s="267" t="str">
        <f t="shared" si="31"/>
        <v>TUE:</v>
      </c>
      <c r="K403" s="295"/>
      <c r="L403" s="295"/>
      <c r="M403" s="296"/>
      <c r="N403" s="267" t="s">
        <v>402</v>
      </c>
      <c r="O403" s="295"/>
      <c r="P403" s="295"/>
      <c r="Q403" s="296"/>
      <c r="R403" s="267" t="s">
        <v>403</v>
      </c>
      <c r="S403" s="297"/>
      <c r="T403" s="297"/>
      <c r="U403" s="243"/>
      <c r="X403" s="273"/>
      <c r="Y403" s="273"/>
      <c r="Z403" s="273"/>
      <c r="AB403" s="273"/>
      <c r="AC403" s="273"/>
      <c r="AD403" s="273"/>
      <c r="AF403" s="273"/>
      <c r="AG403" s="273"/>
      <c r="AH403" s="273"/>
      <c r="AJ403" s="273"/>
      <c r="AK403" s="273"/>
      <c r="AL403" s="273"/>
    </row>
    <row r="404" spans="1:38">
      <c r="A404" s="9"/>
      <c r="B404" s="260"/>
      <c r="C404" s="298"/>
      <c r="D404" s="294"/>
      <c r="E404" s="294"/>
      <c r="F404" s="267" t="s">
        <v>407</v>
      </c>
      <c r="G404" s="295" t="s">
        <v>437</v>
      </c>
      <c r="H404" s="295"/>
      <c r="J404" s="267" t="str">
        <f t="shared" si="31"/>
        <v>WED:</v>
      </c>
      <c r="K404" s="295"/>
      <c r="L404" s="295"/>
      <c r="M404" s="296"/>
      <c r="N404" s="267" t="s">
        <v>407</v>
      </c>
      <c r="O404" s="295"/>
      <c r="P404" s="295"/>
      <c r="Q404" s="296"/>
      <c r="R404" s="267" t="s">
        <v>408</v>
      </c>
      <c r="S404" s="297"/>
      <c r="T404" s="297"/>
      <c r="U404" s="243"/>
      <c r="X404" s="273"/>
      <c r="Y404" s="273"/>
      <c r="Z404" s="273"/>
      <c r="AB404" s="273"/>
      <c r="AC404" s="273"/>
      <c r="AD404" s="273"/>
      <c r="AF404" s="273"/>
      <c r="AG404" s="273"/>
      <c r="AH404" s="273"/>
      <c r="AJ404" s="273"/>
      <c r="AK404" s="273"/>
      <c r="AL404" s="273"/>
    </row>
    <row r="405" spans="1:38" ht="24">
      <c r="A405" s="9"/>
      <c r="B405" s="260"/>
      <c r="C405" s="274" t="s">
        <v>410</v>
      </c>
      <c r="D405" s="294"/>
      <c r="E405" s="294"/>
      <c r="F405" s="267" t="s">
        <v>411</v>
      </c>
      <c r="G405" s="295" t="s">
        <v>437</v>
      </c>
      <c r="H405" s="295"/>
      <c r="J405" s="267" t="str">
        <f t="shared" si="31"/>
        <v>THU:</v>
      </c>
      <c r="K405" s="295"/>
      <c r="L405" s="295"/>
      <c r="M405" s="296"/>
      <c r="N405" s="267" t="s">
        <v>411</v>
      </c>
      <c r="O405" s="295"/>
      <c r="P405" s="295"/>
      <c r="Q405" s="296"/>
      <c r="R405" s="267" t="s">
        <v>412</v>
      </c>
      <c r="S405" s="297"/>
      <c r="T405" s="297"/>
      <c r="U405" s="243"/>
      <c r="X405" s="273"/>
      <c r="Y405" s="273"/>
      <c r="Z405" s="273"/>
      <c r="AB405" s="273"/>
      <c r="AC405" s="273"/>
      <c r="AD405" s="273"/>
      <c r="AF405" s="273"/>
      <c r="AG405" s="273"/>
      <c r="AH405" s="273"/>
      <c r="AJ405" s="273"/>
      <c r="AK405" s="273"/>
      <c r="AL405" s="273"/>
    </row>
    <row r="406" spans="1:38">
      <c r="A406" s="9"/>
      <c r="B406" s="260"/>
      <c r="C406" s="274"/>
      <c r="D406" s="294"/>
      <c r="E406" s="294"/>
      <c r="F406" s="267" t="s">
        <v>414</v>
      </c>
      <c r="G406" s="295" t="s">
        <v>437</v>
      </c>
      <c r="H406" s="295"/>
      <c r="J406" s="267" t="str">
        <f t="shared" si="31"/>
        <v>FRI:</v>
      </c>
      <c r="K406" s="295"/>
      <c r="L406" s="295"/>
      <c r="M406" s="296"/>
      <c r="N406" s="267" t="s">
        <v>414</v>
      </c>
      <c r="O406" s="295"/>
      <c r="P406" s="295"/>
      <c r="Q406" s="296"/>
      <c r="R406" s="267" t="s">
        <v>415</v>
      </c>
      <c r="S406" s="297"/>
      <c r="T406" s="297"/>
      <c r="U406" s="243"/>
      <c r="X406" s="273"/>
      <c r="Y406" s="273"/>
      <c r="Z406" s="273"/>
      <c r="AB406" s="273"/>
      <c r="AC406" s="273"/>
      <c r="AD406" s="273"/>
      <c r="AF406" s="273"/>
      <c r="AG406" s="273"/>
      <c r="AH406" s="273"/>
      <c r="AJ406" s="273"/>
      <c r="AK406" s="273"/>
      <c r="AL406" s="273"/>
    </row>
    <row r="407" spans="1:38">
      <c r="A407" s="9"/>
      <c r="B407" s="260"/>
      <c r="C407" s="238" t="str">
        <f>IF(AND(C403="Other",OR(D407=" ",D407="")),"Select Type →",IF(AND(NOT(C403="Other"),AND(NOT(D407=" "),NOT(D407=""))),"Deselect Type→",VLOOKUP(C403,$BL$6:$BM$19,2,0)))</f>
        <v>On/Off</v>
      </c>
      <c r="D407" s="299"/>
      <c r="E407" s="299"/>
      <c r="F407" s="267" t="s">
        <v>418</v>
      </c>
      <c r="G407" s="295" t="s">
        <v>437</v>
      </c>
      <c r="H407" s="295"/>
      <c r="J407" s="267" t="str">
        <f t="shared" si="31"/>
        <v>SAT:</v>
      </c>
      <c r="K407" s="295"/>
      <c r="L407" s="295"/>
      <c r="M407" s="296"/>
      <c r="N407" s="267" t="s">
        <v>418</v>
      </c>
      <c r="O407" s="295"/>
      <c r="P407" s="295"/>
      <c r="Q407" s="296"/>
      <c r="R407" s="267" t="s">
        <v>419</v>
      </c>
      <c r="S407" s="297"/>
      <c r="T407" s="297"/>
      <c r="U407" s="243"/>
      <c r="X407" s="273"/>
      <c r="Y407" s="273"/>
      <c r="Z407" s="273"/>
      <c r="AB407" s="273"/>
      <c r="AC407" s="273"/>
      <c r="AD407" s="273"/>
      <c r="AF407" s="273"/>
      <c r="AG407" s="273"/>
      <c r="AH407" s="273"/>
      <c r="AJ407" s="273"/>
      <c r="AK407" s="273"/>
      <c r="AL407" s="273"/>
    </row>
    <row r="408" spans="1:38">
      <c r="A408" s="9"/>
      <c r="B408" s="260"/>
      <c r="C408" s="238"/>
      <c r="D408" s="299"/>
      <c r="E408" s="299"/>
      <c r="F408" s="267" t="s">
        <v>421</v>
      </c>
      <c r="G408" s="295" t="s">
        <v>437</v>
      </c>
      <c r="H408" s="295"/>
      <c r="J408" s="267" t="str">
        <f t="shared" si="31"/>
        <v>HOL:</v>
      </c>
      <c r="K408" s="295"/>
      <c r="L408" s="295"/>
      <c r="M408" s="296"/>
      <c r="N408" s="267" t="s">
        <v>421</v>
      </c>
      <c r="O408" s="295"/>
      <c r="P408" s="295"/>
      <c r="Q408" s="296"/>
      <c r="R408" s="267" t="s">
        <v>391</v>
      </c>
      <c r="S408" s="297"/>
      <c r="T408" s="297"/>
      <c r="U408" s="243"/>
      <c r="X408" s="273"/>
      <c r="Y408" s="273"/>
      <c r="Z408" s="273"/>
      <c r="AB408" s="273"/>
      <c r="AC408" s="273"/>
      <c r="AD408" s="273"/>
      <c r="AF408" s="273"/>
      <c r="AG408" s="273"/>
      <c r="AH408" s="273"/>
      <c r="AJ408" s="273"/>
      <c r="AK408" s="273"/>
      <c r="AL408" s="273"/>
    </row>
    <row r="409" spans="1:38">
      <c r="A409" s="9"/>
      <c r="B409" s="260"/>
      <c r="C409" s="300"/>
      <c r="D409" s="300"/>
      <c r="E409" s="300"/>
      <c r="F409" s="267" t="s">
        <v>424</v>
      </c>
      <c r="G409" s="295" t="s">
        <v>438</v>
      </c>
      <c r="H409" s="295"/>
      <c r="J409" s="267" t="str">
        <f t="shared" si="31"/>
        <v>HDD:</v>
      </c>
      <c r="K409" s="295"/>
      <c r="L409" s="295"/>
      <c r="M409" s="296"/>
      <c r="N409" s="267" t="s">
        <v>424</v>
      </c>
      <c r="O409" s="295"/>
      <c r="P409" s="295"/>
      <c r="Q409" s="296"/>
      <c r="R409" s="267" t="s">
        <v>426</v>
      </c>
      <c r="S409" s="297"/>
      <c r="T409" s="297"/>
      <c r="U409" s="243"/>
    </row>
    <row r="410" spans="1:38">
      <c r="A410" s="9"/>
      <c r="B410" s="260"/>
      <c r="C410" s="300"/>
      <c r="D410" s="300"/>
      <c r="E410" s="300"/>
      <c r="F410" s="267" t="s">
        <v>429</v>
      </c>
      <c r="G410" s="295" t="s">
        <v>439</v>
      </c>
      <c r="H410" s="295"/>
      <c r="I410" s="296"/>
      <c r="J410" s="267" t="str">
        <f t="shared" si="31"/>
        <v>CDD:</v>
      </c>
      <c r="K410" s="295"/>
      <c r="L410" s="295"/>
      <c r="M410" s="296"/>
      <c r="N410" s="267" t="s">
        <v>429</v>
      </c>
      <c r="O410" s="295"/>
      <c r="P410" s="295"/>
      <c r="Q410" s="296"/>
      <c r="R410" s="267" t="s">
        <v>431</v>
      </c>
      <c r="S410" s="297"/>
      <c r="T410" s="297"/>
      <c r="U410" s="243"/>
    </row>
    <row r="411" spans="1:38">
      <c r="A411" s="9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43"/>
    </row>
    <row r="412" spans="1:38" ht="28.5">
      <c r="A412" s="9">
        <f>A398+1</f>
        <v>30</v>
      </c>
      <c r="B412" s="282" t="s">
        <v>376</v>
      </c>
      <c r="C412" s="287" t="s">
        <v>435</v>
      </c>
      <c r="D412" s="287"/>
      <c r="E412" s="287"/>
      <c r="F412" s="249" t="s">
        <v>378</v>
      </c>
      <c r="G412" s="288" t="s">
        <v>379</v>
      </c>
      <c r="H412" s="289">
        <v>1</v>
      </c>
      <c r="I412" s="289"/>
      <c r="J412" s="249" t="s">
        <v>378</v>
      </c>
      <c r="K412" s="290" t="str">
        <f>IF(AND(G413="December",H413=31)," ",IF(VLOOKUP(G413,D!$G$5:$I$16,3,0)=H413,LOOKUP(VLOOKUP(G413,D!$G$4:$H$16,2,0)+1,D!$H$4:$H$16,D!$G$4:$G$16),G413))</f>
        <v>January</v>
      </c>
      <c r="L412" s="289">
        <f>IF(K412=" "," ",IF(K412=G413,H413+1,1))</f>
        <v>29</v>
      </c>
      <c r="M412" s="289"/>
      <c r="N412" s="249" t="s">
        <v>378</v>
      </c>
      <c r="O412" s="288" t="str">
        <f>IF(OR(K413=" ",AND(K413="December",L413=31))," ",IF(VLOOKUP(K413,D!$G$5:$I$16,3,0)=L413,LOOKUP(VLOOKUP(K413,D!$G$4:$H$16,2,0)+1,D!$H$4:$H$16,D!$G$4:$G$16),K413))</f>
        <v>June</v>
      </c>
      <c r="P412" s="289">
        <f>IF(O412=" "," ",IF(O412=K413,L413+1,1))</f>
        <v>9</v>
      </c>
      <c r="Q412" s="289"/>
      <c r="R412" s="249" t="s">
        <v>378</v>
      </c>
      <c r="S412" s="288" t="str">
        <f>IF(OR(O413=" ",AND(O413="December",P413=31))," ",IF(VLOOKUP(O413,D!$G$5:$I$16,3,0)=P413,LOOKUP(VLOOKUP(O413,D!$G$4:$H$16,2,0)+1,D!$H$4:$H$16,D!$G$4:$G$16),O413))</f>
        <v>September</v>
      </c>
      <c r="T412" s="289">
        <f>IF(S412=" "," ",IF(S412=O413,P413+1,1))</f>
        <v>9</v>
      </c>
      <c r="U412" s="243"/>
    </row>
    <row r="413" spans="1:38" ht="28.5">
      <c r="A413" s="9"/>
      <c r="B413" s="282"/>
      <c r="C413" s="287"/>
      <c r="D413" s="287"/>
      <c r="E413" s="287"/>
      <c r="F413" s="255" t="s">
        <v>380</v>
      </c>
      <c r="G413" s="291" t="s">
        <v>379</v>
      </c>
      <c r="H413" s="292">
        <v>28</v>
      </c>
      <c r="I413" s="292"/>
      <c r="J413" s="255" t="s">
        <v>380</v>
      </c>
      <c r="K413" s="291" t="s">
        <v>383</v>
      </c>
      <c r="L413" s="292">
        <v>8</v>
      </c>
      <c r="M413" s="292"/>
      <c r="N413" s="255" t="s">
        <v>380</v>
      </c>
      <c r="O413" s="291" t="s">
        <v>436</v>
      </c>
      <c r="P413" s="292">
        <v>8</v>
      </c>
      <c r="Q413" s="292"/>
      <c r="R413" s="255" t="s">
        <v>380</v>
      </c>
      <c r="S413" s="291" t="s">
        <v>384</v>
      </c>
      <c r="T413" s="292">
        <v>31</v>
      </c>
      <c r="U413" s="243"/>
      <c r="X413" s="273"/>
      <c r="Y413" s="273"/>
      <c r="Z413" s="273"/>
      <c r="AB413" s="273"/>
      <c r="AC413" s="273"/>
      <c r="AD413" s="273"/>
      <c r="AF413" s="273"/>
      <c r="AG413" s="273"/>
      <c r="AH413" s="273"/>
      <c r="AJ413" s="273"/>
      <c r="AK413" s="273"/>
      <c r="AL413" s="273"/>
    </row>
    <row r="414" spans="1:38">
      <c r="A414" s="9"/>
      <c r="B414" s="260"/>
      <c r="C414" s="293" t="s">
        <v>395</v>
      </c>
      <c r="D414" s="294"/>
      <c r="E414" s="294"/>
      <c r="F414" s="262"/>
      <c r="G414" s="263" t="str">
        <f>IF(OR(H413&gt;VLOOKUP(G413,D!$G$4:$I$16,3,0),AND(G413=G412,H413&lt;=H412),VLOOKUP(G413,D!$G$4:$H$16,2,0)&lt;VLOOKUP(G412,D!$G$4:$H$16,2,0)),"Must correct date!","")</f>
        <v/>
      </c>
      <c r="H414" s="263"/>
      <c r="J414" s="262"/>
      <c r="K414" s="263" t="str">
        <f>IF(AND(K413=" ",K412=" "),"",IF(OR(L413&gt;VLOOKUP(K413,D!$G$4:$I$16,3,0),AND(K413=K412,L413&lt;=L412),VLOOKUP(K413,D!$G$4:$H$16,2,0)&lt;VLOOKUP(K412,D!$G$4:$H$16,2,0)),"Must correct date!",""))</f>
        <v/>
      </c>
      <c r="L414" s="263"/>
      <c r="N414" s="262"/>
      <c r="O414" s="263" t="str">
        <f>IF(AND(O413=" ",O412=" "),"",IF(OR(P413&gt;VLOOKUP(O413,D!$G$4:$I$16,3,0),AND(O413=O412,P413&lt;=P412),VLOOKUP(O413,D!$G$4:$H$16,2,0)&lt;VLOOKUP(O412,D!$G$4:$H$16,2,0)),"Must correct date!",""))</f>
        <v/>
      </c>
      <c r="P414" s="263"/>
      <c r="R414" s="262"/>
      <c r="S414" s="265" t="str">
        <f>IF(AND(S413=" ",S412=" "),"",IF(OR(T413&gt;VLOOKUP(S413,D!$G$4:$I$16,3,0),AND(S413=S412,T413&lt;=T412),VLOOKUP(S413,D!$G$4:$H$16,2,0)&lt;VLOOKUP(S412,D!$G$4:$H$16,2,0)),"Must correct date!",""))</f>
        <v/>
      </c>
      <c r="T414" s="265"/>
      <c r="U414" s="243"/>
      <c r="X414" s="273"/>
      <c r="Y414" s="273"/>
      <c r="Z414" s="273"/>
      <c r="AB414" s="273"/>
      <c r="AC414" s="273"/>
      <c r="AD414" s="273"/>
      <c r="AF414" s="273"/>
      <c r="AG414" s="273"/>
      <c r="AH414" s="273"/>
      <c r="AJ414" s="273"/>
      <c r="AK414" s="273"/>
      <c r="AL414" s="273"/>
    </row>
    <row r="415" spans="1:38">
      <c r="A415" s="9"/>
      <c r="B415" s="260"/>
      <c r="C415" s="293"/>
      <c r="D415" s="294"/>
      <c r="E415" s="294"/>
      <c r="F415" s="267" t="s">
        <v>389</v>
      </c>
      <c r="G415" s="295" t="s">
        <v>437</v>
      </c>
      <c r="H415" s="295"/>
      <c r="I415" s="296"/>
      <c r="J415" s="267" t="str">
        <f t="shared" ref="J415:J424" si="32">$F415</f>
        <v>SUN:</v>
      </c>
      <c r="K415" s="295"/>
      <c r="L415" s="295"/>
      <c r="M415" s="296"/>
      <c r="N415" s="267" t="s">
        <v>389</v>
      </c>
      <c r="O415" s="295"/>
      <c r="P415" s="295"/>
      <c r="Q415" s="296"/>
      <c r="R415" s="267" t="s">
        <v>391</v>
      </c>
      <c r="S415" s="297"/>
      <c r="T415" s="297"/>
      <c r="U415" s="243"/>
      <c r="X415" s="273"/>
      <c r="Y415" s="273"/>
      <c r="Z415" s="273"/>
      <c r="AB415" s="273"/>
      <c r="AC415" s="273"/>
      <c r="AD415" s="273"/>
      <c r="AF415" s="273"/>
      <c r="AG415" s="273"/>
      <c r="AH415" s="273"/>
      <c r="AJ415" s="273"/>
      <c r="AK415" s="273"/>
      <c r="AL415" s="273"/>
    </row>
    <row r="416" spans="1:38">
      <c r="A416" s="9"/>
      <c r="B416" s="260"/>
      <c r="C416" s="293"/>
      <c r="D416" s="294"/>
      <c r="E416" s="294"/>
      <c r="F416" s="267" t="s">
        <v>396</v>
      </c>
      <c r="G416" s="295" t="s">
        <v>437</v>
      </c>
      <c r="H416" s="295"/>
      <c r="J416" s="267" t="str">
        <f t="shared" si="32"/>
        <v>MON:</v>
      </c>
      <c r="K416" s="295"/>
      <c r="L416" s="295"/>
      <c r="M416" s="296"/>
      <c r="N416" s="267" t="s">
        <v>396</v>
      </c>
      <c r="O416" s="295"/>
      <c r="P416" s="295"/>
      <c r="Q416" s="296"/>
      <c r="R416" s="267" t="s">
        <v>397</v>
      </c>
      <c r="S416" s="297"/>
      <c r="T416" s="297"/>
      <c r="U416" s="243"/>
      <c r="X416" s="273"/>
      <c r="Y416" s="273"/>
      <c r="Z416" s="273"/>
      <c r="AB416" s="273"/>
      <c r="AC416" s="273"/>
      <c r="AD416" s="273"/>
      <c r="AF416" s="273"/>
      <c r="AG416" s="273"/>
      <c r="AH416" s="273"/>
      <c r="AJ416" s="273"/>
      <c r="AK416" s="273"/>
      <c r="AL416" s="273"/>
    </row>
    <row r="417" spans="1:38" ht="28.5">
      <c r="A417" s="9"/>
      <c r="B417" s="260"/>
      <c r="C417" s="298" t="s">
        <v>387</v>
      </c>
      <c r="D417" s="294"/>
      <c r="E417" s="294"/>
      <c r="F417" s="267" t="s">
        <v>402</v>
      </c>
      <c r="G417" s="295" t="s">
        <v>437</v>
      </c>
      <c r="H417" s="295"/>
      <c r="J417" s="267" t="str">
        <f t="shared" si="32"/>
        <v>TUE:</v>
      </c>
      <c r="K417" s="295"/>
      <c r="L417" s="295"/>
      <c r="M417" s="296"/>
      <c r="N417" s="267" t="s">
        <v>402</v>
      </c>
      <c r="O417" s="295"/>
      <c r="P417" s="295"/>
      <c r="Q417" s="296"/>
      <c r="R417" s="267" t="s">
        <v>403</v>
      </c>
      <c r="S417" s="297"/>
      <c r="T417" s="297"/>
      <c r="U417" s="243"/>
      <c r="X417" s="273"/>
      <c r="Y417" s="273"/>
      <c r="Z417" s="273"/>
      <c r="AB417" s="273"/>
      <c r="AC417" s="273"/>
      <c r="AD417" s="273"/>
      <c r="AF417" s="273"/>
      <c r="AG417" s="273"/>
      <c r="AH417" s="273"/>
      <c r="AJ417" s="273"/>
      <c r="AK417" s="273"/>
      <c r="AL417" s="273"/>
    </row>
    <row r="418" spans="1:38">
      <c r="A418" s="9"/>
      <c r="B418" s="260"/>
      <c r="C418" s="298"/>
      <c r="D418" s="294"/>
      <c r="E418" s="294"/>
      <c r="F418" s="267" t="s">
        <v>407</v>
      </c>
      <c r="G418" s="295" t="s">
        <v>437</v>
      </c>
      <c r="H418" s="295"/>
      <c r="J418" s="267" t="str">
        <f t="shared" si="32"/>
        <v>WED:</v>
      </c>
      <c r="K418" s="295"/>
      <c r="L418" s="295"/>
      <c r="M418" s="296"/>
      <c r="N418" s="267" t="s">
        <v>407</v>
      </c>
      <c r="O418" s="295"/>
      <c r="P418" s="295"/>
      <c r="Q418" s="296"/>
      <c r="R418" s="267" t="s">
        <v>408</v>
      </c>
      <c r="S418" s="297"/>
      <c r="T418" s="297"/>
      <c r="U418" s="243"/>
      <c r="X418" s="273"/>
      <c r="Y418" s="273"/>
      <c r="Z418" s="273"/>
      <c r="AB418" s="273"/>
      <c r="AC418" s="273"/>
      <c r="AD418" s="273"/>
      <c r="AF418" s="273"/>
      <c r="AG418" s="273"/>
      <c r="AH418" s="273"/>
      <c r="AJ418" s="273"/>
      <c r="AK418" s="273"/>
      <c r="AL418" s="273"/>
    </row>
    <row r="419" spans="1:38" ht="24">
      <c r="A419" s="9"/>
      <c r="B419" s="260"/>
      <c r="C419" s="274" t="s">
        <v>410</v>
      </c>
      <c r="D419" s="294"/>
      <c r="E419" s="294"/>
      <c r="F419" s="267" t="s">
        <v>411</v>
      </c>
      <c r="G419" s="295" t="s">
        <v>437</v>
      </c>
      <c r="H419" s="295"/>
      <c r="J419" s="267" t="str">
        <f t="shared" si="32"/>
        <v>THU:</v>
      </c>
      <c r="K419" s="295"/>
      <c r="L419" s="295"/>
      <c r="M419" s="296"/>
      <c r="N419" s="267" t="s">
        <v>411</v>
      </c>
      <c r="O419" s="295"/>
      <c r="P419" s="295"/>
      <c r="Q419" s="296"/>
      <c r="R419" s="267" t="s">
        <v>412</v>
      </c>
      <c r="S419" s="297"/>
      <c r="T419" s="297"/>
      <c r="U419" s="243"/>
      <c r="X419" s="273"/>
      <c r="Y419" s="273"/>
      <c r="Z419" s="273"/>
      <c r="AB419" s="273"/>
      <c r="AC419" s="273"/>
      <c r="AD419" s="273"/>
      <c r="AF419" s="273"/>
      <c r="AG419" s="273"/>
      <c r="AH419" s="273"/>
      <c r="AJ419" s="273"/>
      <c r="AK419" s="273"/>
      <c r="AL419" s="273"/>
    </row>
    <row r="420" spans="1:38">
      <c r="A420" s="9"/>
      <c r="B420" s="260"/>
      <c r="C420" s="274"/>
      <c r="D420" s="294"/>
      <c r="E420" s="294"/>
      <c r="F420" s="267" t="s">
        <v>414</v>
      </c>
      <c r="G420" s="295" t="s">
        <v>437</v>
      </c>
      <c r="H420" s="295"/>
      <c r="J420" s="267" t="str">
        <f t="shared" si="32"/>
        <v>FRI:</v>
      </c>
      <c r="K420" s="295"/>
      <c r="L420" s="295"/>
      <c r="M420" s="296"/>
      <c r="N420" s="267" t="s">
        <v>414</v>
      </c>
      <c r="O420" s="295"/>
      <c r="P420" s="295"/>
      <c r="Q420" s="296"/>
      <c r="R420" s="267" t="s">
        <v>415</v>
      </c>
      <c r="S420" s="297"/>
      <c r="T420" s="297"/>
      <c r="U420" s="243"/>
      <c r="X420" s="273"/>
      <c r="Y420" s="273"/>
      <c r="Z420" s="273"/>
      <c r="AB420" s="273"/>
      <c r="AC420" s="273"/>
      <c r="AD420" s="273"/>
      <c r="AF420" s="273"/>
      <c r="AG420" s="273"/>
      <c r="AH420" s="273"/>
      <c r="AJ420" s="273"/>
      <c r="AK420" s="273"/>
      <c r="AL420" s="273"/>
    </row>
    <row r="421" spans="1:38">
      <c r="A421" s="9"/>
      <c r="B421" s="260"/>
      <c r="C421" s="238" t="str">
        <f>IF(AND(C417="Other",OR(D421=" ",D421="")),"Select Type →",IF(AND(NOT(C417="Other"),AND(NOT(D421=" "),NOT(D421=""))),"Deselect Type→",VLOOKUP(C417,$BL$6:$BM$19,2,0)))</f>
        <v>On/Off</v>
      </c>
      <c r="D421" s="299"/>
      <c r="E421" s="299"/>
      <c r="F421" s="267" t="s">
        <v>418</v>
      </c>
      <c r="G421" s="295" t="s">
        <v>437</v>
      </c>
      <c r="H421" s="295"/>
      <c r="J421" s="267" t="str">
        <f t="shared" si="32"/>
        <v>SAT:</v>
      </c>
      <c r="K421" s="295"/>
      <c r="L421" s="295"/>
      <c r="M421" s="296"/>
      <c r="N421" s="267" t="s">
        <v>418</v>
      </c>
      <c r="O421" s="295"/>
      <c r="P421" s="295"/>
      <c r="Q421" s="296"/>
      <c r="R421" s="267" t="s">
        <v>419</v>
      </c>
      <c r="S421" s="297"/>
      <c r="T421" s="297"/>
      <c r="U421" s="243"/>
      <c r="X421" s="273"/>
      <c r="Y421" s="273"/>
      <c r="Z421" s="273"/>
      <c r="AB421" s="273"/>
      <c r="AC421" s="273"/>
      <c r="AD421" s="273"/>
      <c r="AF421" s="273"/>
      <c r="AG421" s="273"/>
      <c r="AH421" s="273"/>
      <c r="AJ421" s="273"/>
      <c r="AK421" s="273"/>
      <c r="AL421" s="273"/>
    </row>
    <row r="422" spans="1:38">
      <c r="A422" s="9"/>
      <c r="B422" s="260"/>
      <c r="C422" s="238"/>
      <c r="D422" s="299"/>
      <c r="E422" s="299"/>
      <c r="F422" s="267" t="s">
        <v>421</v>
      </c>
      <c r="G422" s="295" t="s">
        <v>437</v>
      </c>
      <c r="H422" s="295"/>
      <c r="J422" s="267" t="str">
        <f t="shared" si="32"/>
        <v>HOL:</v>
      </c>
      <c r="K422" s="295"/>
      <c r="L422" s="295"/>
      <c r="M422" s="296"/>
      <c r="N422" s="267" t="s">
        <v>421</v>
      </c>
      <c r="O422" s="295"/>
      <c r="P422" s="295"/>
      <c r="Q422" s="296"/>
      <c r="R422" s="267" t="s">
        <v>391</v>
      </c>
      <c r="S422" s="297"/>
      <c r="T422" s="297"/>
      <c r="U422" s="243"/>
      <c r="X422" s="273"/>
      <c r="Y422" s="273"/>
      <c r="Z422" s="273"/>
      <c r="AB422" s="273"/>
      <c r="AC422" s="273"/>
      <c r="AD422" s="273"/>
      <c r="AF422" s="273"/>
      <c r="AG422" s="273"/>
      <c r="AH422" s="273"/>
      <c r="AJ422" s="273"/>
      <c r="AK422" s="273"/>
      <c r="AL422" s="273"/>
    </row>
    <row r="423" spans="1:38">
      <c r="A423" s="9"/>
      <c r="B423" s="260"/>
      <c r="C423" s="300"/>
      <c r="D423" s="300"/>
      <c r="E423" s="300"/>
      <c r="F423" s="267" t="s">
        <v>424</v>
      </c>
      <c r="G423" s="295" t="s">
        <v>438</v>
      </c>
      <c r="H423" s="295"/>
      <c r="J423" s="267" t="str">
        <f t="shared" si="32"/>
        <v>HDD:</v>
      </c>
      <c r="K423" s="295"/>
      <c r="L423" s="295"/>
      <c r="M423" s="296"/>
      <c r="N423" s="267" t="s">
        <v>424</v>
      </c>
      <c r="O423" s="295"/>
      <c r="P423" s="295"/>
      <c r="Q423" s="296"/>
      <c r="R423" s="267" t="s">
        <v>426</v>
      </c>
      <c r="S423" s="297"/>
      <c r="T423" s="297"/>
      <c r="U423" s="243"/>
    </row>
    <row r="424" spans="1:38">
      <c r="A424" s="9"/>
      <c r="B424" s="260"/>
      <c r="C424" s="300"/>
      <c r="D424" s="300"/>
      <c r="E424" s="300"/>
      <c r="F424" s="267" t="s">
        <v>429</v>
      </c>
      <c r="G424" s="295" t="s">
        <v>439</v>
      </c>
      <c r="H424" s="295"/>
      <c r="I424" s="296"/>
      <c r="J424" s="267" t="str">
        <f t="shared" si="32"/>
        <v>CDD:</v>
      </c>
      <c r="K424" s="295"/>
      <c r="L424" s="295"/>
      <c r="M424" s="296"/>
      <c r="N424" s="267" t="s">
        <v>429</v>
      </c>
      <c r="O424" s="295"/>
      <c r="P424" s="295"/>
      <c r="Q424" s="296"/>
      <c r="R424" s="267" t="s">
        <v>431</v>
      </c>
      <c r="S424" s="297"/>
      <c r="T424" s="297"/>
      <c r="U424" s="243"/>
    </row>
    <row r="425" spans="1:38">
      <c r="A425" s="9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43"/>
    </row>
    <row r="426" spans="1:38" ht="28.5">
      <c r="A426" s="9">
        <f>A412+1</f>
        <v>31</v>
      </c>
      <c r="B426" s="282" t="s">
        <v>376</v>
      </c>
      <c r="C426" s="287" t="s">
        <v>435</v>
      </c>
      <c r="D426" s="287"/>
      <c r="E426" s="287"/>
      <c r="F426" s="249" t="s">
        <v>378</v>
      </c>
      <c r="G426" s="288" t="s">
        <v>379</v>
      </c>
      <c r="H426" s="289">
        <v>1</v>
      </c>
      <c r="I426" s="289"/>
      <c r="J426" s="249" t="s">
        <v>378</v>
      </c>
      <c r="K426" s="290" t="str">
        <f>IF(AND(G427="December",H427=31)," ",IF(VLOOKUP(G427,D!$G$5:$I$16,3,0)=H427,LOOKUP(VLOOKUP(G427,D!$G$4:$H$16,2,0)+1,D!$H$4:$H$16,D!$G$4:$G$16),G427))</f>
        <v>January</v>
      </c>
      <c r="L426" s="289">
        <f>IF(K426=" "," ",IF(K426=G427,H427+1,1))</f>
        <v>29</v>
      </c>
      <c r="M426" s="289"/>
      <c r="N426" s="249" t="s">
        <v>378</v>
      </c>
      <c r="O426" s="288" t="str">
        <f>IF(OR(K427=" ",AND(K427="December",L427=31))," ",IF(VLOOKUP(K427,D!$G$5:$I$16,3,0)=L427,LOOKUP(VLOOKUP(K427,D!$G$4:$H$16,2,0)+1,D!$H$4:$H$16,D!$G$4:$G$16),K427))</f>
        <v>June</v>
      </c>
      <c r="P426" s="289">
        <f>IF(O426=" "," ",IF(O426=K427,L427+1,1))</f>
        <v>9</v>
      </c>
      <c r="Q426" s="289"/>
      <c r="R426" s="249" t="s">
        <v>378</v>
      </c>
      <c r="S426" s="288" t="str">
        <f>IF(OR(O427=" ",AND(O427="December",P427=31))," ",IF(VLOOKUP(O427,D!$G$5:$I$16,3,0)=P427,LOOKUP(VLOOKUP(O427,D!$G$4:$H$16,2,0)+1,D!$H$4:$H$16,D!$G$4:$G$16),O427))</f>
        <v>September</v>
      </c>
      <c r="T426" s="289">
        <f>IF(S426=" "," ",IF(S426=O427,P427+1,1))</f>
        <v>9</v>
      </c>
      <c r="U426" s="243"/>
    </row>
    <row r="427" spans="1:38" ht="28.5">
      <c r="A427" s="9"/>
      <c r="B427" s="282"/>
      <c r="C427" s="287"/>
      <c r="D427" s="287"/>
      <c r="E427" s="287"/>
      <c r="F427" s="255" t="s">
        <v>380</v>
      </c>
      <c r="G427" s="291" t="s">
        <v>379</v>
      </c>
      <c r="H427" s="292">
        <v>28</v>
      </c>
      <c r="I427" s="292"/>
      <c r="J427" s="255" t="s">
        <v>380</v>
      </c>
      <c r="K427" s="291" t="s">
        <v>383</v>
      </c>
      <c r="L427" s="292">
        <v>8</v>
      </c>
      <c r="M427" s="292"/>
      <c r="N427" s="255" t="s">
        <v>380</v>
      </c>
      <c r="O427" s="291" t="s">
        <v>436</v>
      </c>
      <c r="P427" s="292">
        <v>8</v>
      </c>
      <c r="Q427" s="292"/>
      <c r="R427" s="255" t="s">
        <v>380</v>
      </c>
      <c r="S427" s="291" t="s">
        <v>384</v>
      </c>
      <c r="T427" s="292">
        <v>31</v>
      </c>
      <c r="U427" s="243"/>
      <c r="X427" s="273"/>
      <c r="Y427" s="273"/>
      <c r="Z427" s="273"/>
      <c r="AB427" s="273"/>
      <c r="AC427" s="273"/>
      <c r="AD427" s="273"/>
      <c r="AF427" s="273"/>
      <c r="AG427" s="273"/>
      <c r="AH427" s="273"/>
      <c r="AJ427" s="273"/>
      <c r="AK427" s="273"/>
      <c r="AL427" s="273"/>
    </row>
    <row r="428" spans="1:38">
      <c r="A428" s="9"/>
      <c r="B428" s="260"/>
      <c r="C428" s="293" t="s">
        <v>395</v>
      </c>
      <c r="D428" s="294"/>
      <c r="E428" s="294"/>
      <c r="F428" s="262"/>
      <c r="G428" s="263" t="str">
        <f>IF(OR(H427&gt;VLOOKUP(G427,D!$G$4:$I$16,3,0),AND(G427=G426,H427&lt;=H426),VLOOKUP(G427,D!$G$4:$H$16,2,0)&lt;VLOOKUP(G426,D!$G$4:$H$16,2,0)),"Must correct date!","")</f>
        <v/>
      </c>
      <c r="H428" s="263"/>
      <c r="J428" s="262"/>
      <c r="K428" s="263" t="str">
        <f>IF(AND(K427=" ",K426=" "),"",IF(OR(L427&gt;VLOOKUP(K427,D!$G$4:$I$16,3,0),AND(K427=K426,L427&lt;=L426),VLOOKUP(K427,D!$G$4:$H$16,2,0)&lt;VLOOKUP(K426,D!$G$4:$H$16,2,0)),"Must correct date!",""))</f>
        <v/>
      </c>
      <c r="L428" s="263"/>
      <c r="N428" s="262"/>
      <c r="O428" s="263" t="str">
        <f>IF(AND(O427=" ",O426=" "),"",IF(OR(P427&gt;VLOOKUP(O427,D!$G$4:$I$16,3,0),AND(O427=O426,P427&lt;=P426),VLOOKUP(O427,D!$G$4:$H$16,2,0)&lt;VLOOKUP(O426,D!$G$4:$H$16,2,0)),"Must correct date!",""))</f>
        <v/>
      </c>
      <c r="P428" s="263"/>
      <c r="R428" s="262"/>
      <c r="S428" s="265" t="str">
        <f>IF(AND(S427=" ",S426=" "),"",IF(OR(T427&gt;VLOOKUP(S427,D!$G$4:$I$16,3,0),AND(S427=S426,T427&lt;=T426),VLOOKUP(S427,D!$G$4:$H$16,2,0)&lt;VLOOKUP(S426,D!$G$4:$H$16,2,0)),"Must correct date!",""))</f>
        <v/>
      </c>
      <c r="T428" s="265"/>
      <c r="U428" s="243"/>
      <c r="X428" s="273"/>
      <c r="Y428" s="273"/>
      <c r="Z428" s="273"/>
      <c r="AB428" s="273"/>
      <c r="AC428" s="273"/>
      <c r="AD428" s="273"/>
      <c r="AF428" s="273"/>
      <c r="AG428" s="273"/>
      <c r="AH428" s="273"/>
      <c r="AJ428" s="273"/>
      <c r="AK428" s="273"/>
      <c r="AL428" s="273"/>
    </row>
    <row r="429" spans="1:38">
      <c r="A429" s="9"/>
      <c r="B429" s="260"/>
      <c r="C429" s="293"/>
      <c r="D429" s="294"/>
      <c r="E429" s="294"/>
      <c r="F429" s="267" t="s">
        <v>389</v>
      </c>
      <c r="G429" s="295" t="s">
        <v>437</v>
      </c>
      <c r="H429" s="295"/>
      <c r="I429" s="296"/>
      <c r="J429" s="267" t="str">
        <f t="shared" ref="J429:J438" si="33">$F429</f>
        <v>SUN:</v>
      </c>
      <c r="K429" s="295"/>
      <c r="L429" s="295"/>
      <c r="M429" s="296"/>
      <c r="N429" s="267" t="s">
        <v>389</v>
      </c>
      <c r="O429" s="295"/>
      <c r="P429" s="295"/>
      <c r="Q429" s="296"/>
      <c r="R429" s="267" t="s">
        <v>391</v>
      </c>
      <c r="S429" s="297"/>
      <c r="T429" s="297"/>
      <c r="U429" s="243"/>
      <c r="X429" s="273"/>
      <c r="Y429" s="273"/>
      <c r="Z429" s="273"/>
      <c r="AB429" s="273"/>
      <c r="AC429" s="273"/>
      <c r="AD429" s="273"/>
      <c r="AF429" s="273"/>
      <c r="AG429" s="273"/>
      <c r="AH429" s="273"/>
      <c r="AJ429" s="273"/>
      <c r="AK429" s="273"/>
      <c r="AL429" s="273"/>
    </row>
    <row r="430" spans="1:38">
      <c r="A430" s="9"/>
      <c r="B430" s="260"/>
      <c r="C430" s="293"/>
      <c r="D430" s="294"/>
      <c r="E430" s="294"/>
      <c r="F430" s="267" t="s">
        <v>396</v>
      </c>
      <c r="G430" s="295" t="s">
        <v>437</v>
      </c>
      <c r="H430" s="295"/>
      <c r="J430" s="267" t="str">
        <f t="shared" si="33"/>
        <v>MON:</v>
      </c>
      <c r="K430" s="295"/>
      <c r="L430" s="295"/>
      <c r="M430" s="296"/>
      <c r="N430" s="267" t="s">
        <v>396</v>
      </c>
      <c r="O430" s="295"/>
      <c r="P430" s="295"/>
      <c r="Q430" s="296"/>
      <c r="R430" s="267" t="s">
        <v>397</v>
      </c>
      <c r="S430" s="297"/>
      <c r="T430" s="297"/>
      <c r="U430" s="243"/>
      <c r="X430" s="273"/>
      <c r="Y430" s="273"/>
      <c r="Z430" s="273"/>
      <c r="AB430" s="273"/>
      <c r="AC430" s="273"/>
      <c r="AD430" s="273"/>
      <c r="AF430" s="273"/>
      <c r="AG430" s="273"/>
      <c r="AH430" s="273"/>
      <c r="AJ430" s="273"/>
      <c r="AK430" s="273"/>
      <c r="AL430" s="273"/>
    </row>
    <row r="431" spans="1:38" ht="28.5">
      <c r="A431" s="9"/>
      <c r="B431" s="260"/>
      <c r="C431" s="298" t="s">
        <v>387</v>
      </c>
      <c r="D431" s="294"/>
      <c r="E431" s="294"/>
      <c r="F431" s="267" t="s">
        <v>402</v>
      </c>
      <c r="G431" s="295" t="s">
        <v>437</v>
      </c>
      <c r="H431" s="295"/>
      <c r="J431" s="267" t="str">
        <f t="shared" si="33"/>
        <v>TUE:</v>
      </c>
      <c r="K431" s="295"/>
      <c r="L431" s="295"/>
      <c r="M431" s="296"/>
      <c r="N431" s="267" t="s">
        <v>402</v>
      </c>
      <c r="O431" s="295"/>
      <c r="P431" s="295"/>
      <c r="Q431" s="296"/>
      <c r="R431" s="267" t="s">
        <v>403</v>
      </c>
      <c r="S431" s="297"/>
      <c r="T431" s="297"/>
      <c r="U431" s="243"/>
      <c r="X431" s="273"/>
      <c r="Y431" s="273"/>
      <c r="Z431" s="273"/>
      <c r="AB431" s="273"/>
      <c r="AC431" s="273"/>
      <c r="AD431" s="273"/>
      <c r="AF431" s="273"/>
      <c r="AG431" s="273"/>
      <c r="AH431" s="273"/>
      <c r="AJ431" s="273"/>
      <c r="AK431" s="273"/>
      <c r="AL431" s="273"/>
    </row>
    <row r="432" spans="1:38">
      <c r="A432" s="9"/>
      <c r="B432" s="260"/>
      <c r="C432" s="298"/>
      <c r="D432" s="294"/>
      <c r="E432" s="294"/>
      <c r="F432" s="267" t="s">
        <v>407</v>
      </c>
      <c r="G432" s="295" t="s">
        <v>437</v>
      </c>
      <c r="H432" s="295"/>
      <c r="J432" s="267" t="str">
        <f t="shared" si="33"/>
        <v>WED:</v>
      </c>
      <c r="K432" s="295"/>
      <c r="L432" s="295"/>
      <c r="M432" s="296"/>
      <c r="N432" s="267" t="s">
        <v>407</v>
      </c>
      <c r="O432" s="295"/>
      <c r="P432" s="295"/>
      <c r="Q432" s="296"/>
      <c r="R432" s="267" t="s">
        <v>408</v>
      </c>
      <c r="S432" s="297"/>
      <c r="T432" s="297"/>
      <c r="U432" s="243"/>
      <c r="X432" s="273"/>
      <c r="Y432" s="273"/>
      <c r="Z432" s="273"/>
      <c r="AB432" s="273"/>
      <c r="AC432" s="273"/>
      <c r="AD432" s="273"/>
      <c r="AF432" s="273"/>
      <c r="AG432" s="273"/>
      <c r="AH432" s="273"/>
      <c r="AJ432" s="273"/>
      <c r="AK432" s="273"/>
      <c r="AL432" s="273"/>
    </row>
    <row r="433" spans="1:38" ht="24">
      <c r="A433" s="9"/>
      <c r="B433" s="260"/>
      <c r="C433" s="274" t="s">
        <v>410</v>
      </c>
      <c r="D433" s="294"/>
      <c r="E433" s="294"/>
      <c r="F433" s="267" t="s">
        <v>411</v>
      </c>
      <c r="G433" s="295" t="s">
        <v>437</v>
      </c>
      <c r="H433" s="295"/>
      <c r="J433" s="267" t="str">
        <f t="shared" si="33"/>
        <v>THU:</v>
      </c>
      <c r="K433" s="295"/>
      <c r="L433" s="295"/>
      <c r="M433" s="296"/>
      <c r="N433" s="267" t="s">
        <v>411</v>
      </c>
      <c r="O433" s="295"/>
      <c r="P433" s="295"/>
      <c r="Q433" s="296"/>
      <c r="R433" s="267" t="s">
        <v>412</v>
      </c>
      <c r="S433" s="297"/>
      <c r="T433" s="297"/>
      <c r="U433" s="243"/>
      <c r="X433" s="273"/>
      <c r="Y433" s="273"/>
      <c r="Z433" s="273"/>
      <c r="AB433" s="273"/>
      <c r="AC433" s="273"/>
      <c r="AD433" s="273"/>
      <c r="AF433" s="273"/>
      <c r="AG433" s="273"/>
      <c r="AH433" s="273"/>
      <c r="AJ433" s="273"/>
      <c r="AK433" s="273"/>
      <c r="AL433" s="273"/>
    </row>
    <row r="434" spans="1:38">
      <c r="A434" s="9"/>
      <c r="B434" s="260"/>
      <c r="C434" s="274"/>
      <c r="D434" s="294"/>
      <c r="E434" s="294"/>
      <c r="F434" s="267" t="s">
        <v>414</v>
      </c>
      <c r="G434" s="295" t="s">
        <v>437</v>
      </c>
      <c r="H434" s="295"/>
      <c r="J434" s="267" t="str">
        <f t="shared" si="33"/>
        <v>FRI:</v>
      </c>
      <c r="K434" s="295"/>
      <c r="L434" s="295"/>
      <c r="M434" s="296"/>
      <c r="N434" s="267" t="s">
        <v>414</v>
      </c>
      <c r="O434" s="295"/>
      <c r="P434" s="295"/>
      <c r="Q434" s="296"/>
      <c r="R434" s="267" t="s">
        <v>415</v>
      </c>
      <c r="S434" s="297"/>
      <c r="T434" s="297"/>
      <c r="U434" s="243"/>
      <c r="X434" s="273"/>
      <c r="Y434" s="273"/>
      <c r="Z434" s="273"/>
      <c r="AB434" s="273"/>
      <c r="AC434" s="273"/>
      <c r="AD434" s="273"/>
      <c r="AF434" s="273"/>
      <c r="AG434" s="273"/>
      <c r="AH434" s="273"/>
      <c r="AJ434" s="273"/>
      <c r="AK434" s="273"/>
      <c r="AL434" s="273"/>
    </row>
    <row r="435" spans="1:38">
      <c r="A435" s="9"/>
      <c r="B435" s="260"/>
      <c r="C435" s="238" t="str">
        <f>IF(AND(C431="Other",OR(D435=" ",D435="")),"Select Type →",IF(AND(NOT(C431="Other"),AND(NOT(D435=" "),NOT(D435=""))),"Deselect Type→",VLOOKUP(C431,$BL$6:$BM$19,2,0)))</f>
        <v>On/Off</v>
      </c>
      <c r="D435" s="299"/>
      <c r="E435" s="299"/>
      <c r="F435" s="267" t="s">
        <v>418</v>
      </c>
      <c r="G435" s="295" t="s">
        <v>437</v>
      </c>
      <c r="H435" s="295"/>
      <c r="J435" s="267" t="str">
        <f t="shared" si="33"/>
        <v>SAT:</v>
      </c>
      <c r="K435" s="295"/>
      <c r="L435" s="295"/>
      <c r="M435" s="296"/>
      <c r="N435" s="267" t="s">
        <v>418</v>
      </c>
      <c r="O435" s="295"/>
      <c r="P435" s="295"/>
      <c r="Q435" s="296"/>
      <c r="R435" s="267" t="s">
        <v>419</v>
      </c>
      <c r="S435" s="297"/>
      <c r="T435" s="297"/>
      <c r="U435" s="243"/>
      <c r="X435" s="273"/>
      <c r="Y435" s="273"/>
      <c r="Z435" s="273"/>
      <c r="AB435" s="273"/>
      <c r="AC435" s="273"/>
      <c r="AD435" s="273"/>
      <c r="AF435" s="273"/>
      <c r="AG435" s="273"/>
      <c r="AH435" s="273"/>
      <c r="AJ435" s="273"/>
      <c r="AK435" s="273"/>
      <c r="AL435" s="273"/>
    </row>
    <row r="436" spans="1:38">
      <c r="A436" s="9"/>
      <c r="B436" s="260"/>
      <c r="C436" s="238"/>
      <c r="D436" s="299"/>
      <c r="E436" s="299"/>
      <c r="F436" s="267" t="s">
        <v>421</v>
      </c>
      <c r="G436" s="295" t="s">
        <v>437</v>
      </c>
      <c r="H436" s="295"/>
      <c r="J436" s="267" t="str">
        <f t="shared" si="33"/>
        <v>HOL:</v>
      </c>
      <c r="K436" s="295"/>
      <c r="L436" s="295"/>
      <c r="M436" s="296"/>
      <c r="N436" s="267" t="s">
        <v>421</v>
      </c>
      <c r="O436" s="295"/>
      <c r="P436" s="295"/>
      <c r="Q436" s="296"/>
      <c r="R436" s="267" t="s">
        <v>391</v>
      </c>
      <c r="S436" s="297"/>
      <c r="T436" s="297"/>
      <c r="U436" s="243"/>
      <c r="X436" s="273"/>
      <c r="Y436" s="273"/>
      <c r="Z436" s="273"/>
      <c r="AB436" s="273"/>
      <c r="AC436" s="273"/>
      <c r="AD436" s="273"/>
      <c r="AF436" s="273"/>
      <c r="AG436" s="273"/>
      <c r="AH436" s="273"/>
      <c r="AJ436" s="273"/>
      <c r="AK436" s="273"/>
      <c r="AL436" s="273"/>
    </row>
    <row r="437" spans="1:38">
      <c r="A437" s="9"/>
      <c r="B437" s="260"/>
      <c r="C437" s="300"/>
      <c r="D437" s="300"/>
      <c r="E437" s="300"/>
      <c r="F437" s="267" t="s">
        <v>424</v>
      </c>
      <c r="G437" s="295" t="s">
        <v>438</v>
      </c>
      <c r="H437" s="295"/>
      <c r="J437" s="267" t="str">
        <f t="shared" si="33"/>
        <v>HDD:</v>
      </c>
      <c r="K437" s="295"/>
      <c r="L437" s="295"/>
      <c r="M437" s="296"/>
      <c r="N437" s="267" t="s">
        <v>424</v>
      </c>
      <c r="O437" s="295"/>
      <c r="P437" s="295"/>
      <c r="Q437" s="296"/>
      <c r="R437" s="267" t="s">
        <v>426</v>
      </c>
      <c r="S437" s="297"/>
      <c r="T437" s="297"/>
      <c r="U437" s="243"/>
    </row>
    <row r="438" spans="1:38">
      <c r="A438" s="9"/>
      <c r="B438" s="260"/>
      <c r="C438" s="300"/>
      <c r="D438" s="300"/>
      <c r="E438" s="300"/>
      <c r="F438" s="267" t="s">
        <v>429</v>
      </c>
      <c r="G438" s="295" t="s">
        <v>439</v>
      </c>
      <c r="H438" s="295"/>
      <c r="I438" s="296"/>
      <c r="J438" s="267" t="str">
        <f t="shared" si="33"/>
        <v>CDD:</v>
      </c>
      <c r="K438" s="295"/>
      <c r="L438" s="295"/>
      <c r="M438" s="296"/>
      <c r="N438" s="267" t="s">
        <v>429</v>
      </c>
      <c r="O438" s="295"/>
      <c r="P438" s="295"/>
      <c r="Q438" s="296"/>
      <c r="R438" s="267" t="s">
        <v>431</v>
      </c>
      <c r="S438" s="297"/>
      <c r="T438" s="297"/>
      <c r="U438" s="243"/>
    </row>
    <row r="439" spans="1:38">
      <c r="A439" s="9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43"/>
    </row>
    <row r="440" spans="1:38" ht="28.5">
      <c r="A440" s="9">
        <f>A426+1</f>
        <v>32</v>
      </c>
      <c r="B440" s="282" t="s">
        <v>376</v>
      </c>
      <c r="C440" s="287" t="s">
        <v>435</v>
      </c>
      <c r="D440" s="287"/>
      <c r="E440" s="287"/>
      <c r="F440" s="249" t="s">
        <v>378</v>
      </c>
      <c r="G440" s="288" t="s">
        <v>379</v>
      </c>
      <c r="H440" s="289">
        <v>1</v>
      </c>
      <c r="I440" s="289"/>
      <c r="J440" s="249" t="s">
        <v>378</v>
      </c>
      <c r="K440" s="290" t="str">
        <f>IF(AND(G441="December",H441=31)," ",IF(VLOOKUP(G441,D!$G$5:$I$16,3,0)=H441,LOOKUP(VLOOKUP(G441,D!$G$4:$H$16,2,0)+1,D!$H$4:$H$16,D!$G$4:$G$16),G441))</f>
        <v>January</v>
      </c>
      <c r="L440" s="289">
        <f>IF(K440=" "," ",IF(K440=G441,H441+1,1))</f>
        <v>29</v>
      </c>
      <c r="M440" s="289"/>
      <c r="N440" s="249" t="s">
        <v>378</v>
      </c>
      <c r="O440" s="288" t="str">
        <f>IF(OR(K441=" ",AND(K441="December",L441=31))," ",IF(VLOOKUP(K441,D!$G$5:$I$16,3,0)=L441,LOOKUP(VLOOKUP(K441,D!$G$4:$H$16,2,0)+1,D!$H$4:$H$16,D!$G$4:$G$16),K441))</f>
        <v>June</v>
      </c>
      <c r="P440" s="289">
        <f>IF(O440=" "," ",IF(O440=K441,L441+1,1))</f>
        <v>9</v>
      </c>
      <c r="Q440" s="289"/>
      <c r="R440" s="249" t="s">
        <v>378</v>
      </c>
      <c r="S440" s="288" t="str">
        <f>IF(OR(O441=" ",AND(O441="December",P441=31))," ",IF(VLOOKUP(O441,D!$G$5:$I$16,3,0)=P441,LOOKUP(VLOOKUP(O441,D!$G$4:$H$16,2,0)+1,D!$H$4:$H$16,D!$G$4:$G$16),O441))</f>
        <v>September</v>
      </c>
      <c r="T440" s="289">
        <f>IF(S440=" "," ",IF(S440=O441,P441+1,1))</f>
        <v>9</v>
      </c>
      <c r="U440" s="243"/>
    </row>
    <row r="441" spans="1:38" ht="28.5">
      <c r="A441" s="9"/>
      <c r="B441" s="282"/>
      <c r="C441" s="287"/>
      <c r="D441" s="287"/>
      <c r="E441" s="287"/>
      <c r="F441" s="255" t="s">
        <v>380</v>
      </c>
      <c r="G441" s="291" t="s">
        <v>379</v>
      </c>
      <c r="H441" s="292">
        <v>28</v>
      </c>
      <c r="I441" s="292"/>
      <c r="J441" s="255" t="s">
        <v>380</v>
      </c>
      <c r="K441" s="291" t="s">
        <v>383</v>
      </c>
      <c r="L441" s="292">
        <v>8</v>
      </c>
      <c r="M441" s="292"/>
      <c r="N441" s="255" t="s">
        <v>380</v>
      </c>
      <c r="O441" s="291" t="s">
        <v>436</v>
      </c>
      <c r="P441" s="292">
        <v>8</v>
      </c>
      <c r="Q441" s="292"/>
      <c r="R441" s="255" t="s">
        <v>380</v>
      </c>
      <c r="S441" s="291" t="s">
        <v>384</v>
      </c>
      <c r="T441" s="292">
        <v>31</v>
      </c>
      <c r="U441" s="243"/>
      <c r="X441" s="273"/>
      <c r="Y441" s="273"/>
      <c r="Z441" s="273"/>
      <c r="AB441" s="273"/>
      <c r="AC441" s="273"/>
      <c r="AD441" s="273"/>
      <c r="AF441" s="273"/>
      <c r="AG441" s="273"/>
      <c r="AH441" s="273"/>
      <c r="AJ441" s="273"/>
      <c r="AK441" s="273"/>
      <c r="AL441" s="273"/>
    </row>
    <row r="442" spans="1:38">
      <c r="A442" s="9"/>
      <c r="B442" s="260"/>
      <c r="C442" s="293" t="s">
        <v>395</v>
      </c>
      <c r="D442" s="294"/>
      <c r="E442" s="294"/>
      <c r="F442" s="262"/>
      <c r="G442" s="263" t="str">
        <f>IF(OR(H441&gt;VLOOKUP(G441,D!$G$4:$I$16,3,0),AND(G441=G440,H441&lt;=H440),VLOOKUP(G441,D!$G$4:$H$16,2,0)&lt;VLOOKUP(G440,D!$G$4:$H$16,2,0)),"Must correct date!","")</f>
        <v/>
      </c>
      <c r="H442" s="263"/>
      <c r="J442" s="262"/>
      <c r="K442" s="263" t="str">
        <f>IF(AND(K441=" ",K440=" "),"",IF(OR(L441&gt;VLOOKUP(K441,D!$G$4:$I$16,3,0),AND(K441=K440,L441&lt;=L440),VLOOKUP(K441,D!$G$4:$H$16,2,0)&lt;VLOOKUP(K440,D!$G$4:$H$16,2,0)),"Must correct date!",""))</f>
        <v/>
      </c>
      <c r="L442" s="263"/>
      <c r="N442" s="262"/>
      <c r="O442" s="263" t="str">
        <f>IF(AND(O441=" ",O440=" "),"",IF(OR(P441&gt;VLOOKUP(O441,D!$G$4:$I$16,3,0),AND(O441=O440,P441&lt;=P440),VLOOKUP(O441,D!$G$4:$H$16,2,0)&lt;VLOOKUP(O440,D!$G$4:$H$16,2,0)),"Must correct date!",""))</f>
        <v/>
      </c>
      <c r="P442" s="263"/>
      <c r="R442" s="262"/>
      <c r="S442" s="265" t="str">
        <f>IF(AND(S441=" ",S440=" "),"",IF(OR(T441&gt;VLOOKUP(S441,D!$G$4:$I$16,3,0),AND(S441=S440,T441&lt;=T440),VLOOKUP(S441,D!$G$4:$H$16,2,0)&lt;VLOOKUP(S440,D!$G$4:$H$16,2,0)),"Must correct date!",""))</f>
        <v/>
      </c>
      <c r="T442" s="265"/>
      <c r="U442" s="243"/>
      <c r="X442" s="273"/>
      <c r="Y442" s="273"/>
      <c r="Z442" s="273"/>
      <c r="AB442" s="273"/>
      <c r="AC442" s="273"/>
      <c r="AD442" s="273"/>
      <c r="AF442" s="273"/>
      <c r="AG442" s="273"/>
      <c r="AH442" s="273"/>
      <c r="AJ442" s="273"/>
      <c r="AK442" s="273"/>
      <c r="AL442" s="273"/>
    </row>
    <row r="443" spans="1:38">
      <c r="A443" s="9"/>
      <c r="B443" s="260"/>
      <c r="C443" s="293"/>
      <c r="D443" s="294"/>
      <c r="E443" s="294"/>
      <c r="F443" s="267" t="s">
        <v>389</v>
      </c>
      <c r="G443" s="295" t="s">
        <v>437</v>
      </c>
      <c r="H443" s="295"/>
      <c r="I443" s="296"/>
      <c r="J443" s="267" t="str">
        <f t="shared" ref="J443:J452" si="34">$F443</f>
        <v>SUN:</v>
      </c>
      <c r="K443" s="295"/>
      <c r="L443" s="295"/>
      <c r="M443" s="296"/>
      <c r="N443" s="267" t="s">
        <v>389</v>
      </c>
      <c r="O443" s="295"/>
      <c r="P443" s="295"/>
      <c r="Q443" s="296"/>
      <c r="R443" s="267" t="s">
        <v>391</v>
      </c>
      <c r="S443" s="297"/>
      <c r="T443" s="297"/>
      <c r="U443" s="243"/>
      <c r="X443" s="273"/>
      <c r="Y443" s="273"/>
      <c r="Z443" s="273"/>
      <c r="AB443" s="273"/>
      <c r="AC443" s="273"/>
      <c r="AD443" s="273"/>
      <c r="AF443" s="273"/>
      <c r="AG443" s="273"/>
      <c r="AH443" s="273"/>
      <c r="AJ443" s="273"/>
      <c r="AK443" s="273"/>
      <c r="AL443" s="273"/>
    </row>
    <row r="444" spans="1:38">
      <c r="A444" s="9"/>
      <c r="B444" s="260"/>
      <c r="C444" s="293"/>
      <c r="D444" s="294"/>
      <c r="E444" s="294"/>
      <c r="F444" s="267" t="s">
        <v>396</v>
      </c>
      <c r="G444" s="295" t="s">
        <v>437</v>
      </c>
      <c r="H444" s="295"/>
      <c r="J444" s="267" t="str">
        <f t="shared" si="34"/>
        <v>MON:</v>
      </c>
      <c r="K444" s="295"/>
      <c r="L444" s="295"/>
      <c r="M444" s="296"/>
      <c r="N444" s="267" t="s">
        <v>396</v>
      </c>
      <c r="O444" s="295"/>
      <c r="P444" s="295"/>
      <c r="Q444" s="296"/>
      <c r="R444" s="267" t="s">
        <v>397</v>
      </c>
      <c r="S444" s="297"/>
      <c r="T444" s="297"/>
      <c r="U444" s="243"/>
      <c r="X444" s="273"/>
      <c r="Y444" s="273"/>
      <c r="Z444" s="273"/>
      <c r="AB444" s="273"/>
      <c r="AC444" s="273"/>
      <c r="AD444" s="273"/>
      <c r="AF444" s="273"/>
      <c r="AG444" s="273"/>
      <c r="AH444" s="273"/>
      <c r="AJ444" s="273"/>
      <c r="AK444" s="273"/>
      <c r="AL444" s="273"/>
    </row>
    <row r="445" spans="1:38" ht="28.5">
      <c r="A445" s="9"/>
      <c r="B445" s="260"/>
      <c r="C445" s="298" t="s">
        <v>387</v>
      </c>
      <c r="D445" s="294"/>
      <c r="E445" s="294"/>
      <c r="F445" s="267" t="s">
        <v>402</v>
      </c>
      <c r="G445" s="295" t="s">
        <v>437</v>
      </c>
      <c r="H445" s="295"/>
      <c r="J445" s="267" t="str">
        <f t="shared" si="34"/>
        <v>TUE:</v>
      </c>
      <c r="K445" s="295"/>
      <c r="L445" s="295"/>
      <c r="M445" s="296"/>
      <c r="N445" s="267" t="s">
        <v>402</v>
      </c>
      <c r="O445" s="295"/>
      <c r="P445" s="295"/>
      <c r="Q445" s="296"/>
      <c r="R445" s="267" t="s">
        <v>403</v>
      </c>
      <c r="S445" s="297"/>
      <c r="T445" s="297"/>
      <c r="U445" s="243"/>
      <c r="X445" s="273"/>
      <c r="Y445" s="273"/>
      <c r="Z445" s="273"/>
      <c r="AB445" s="273"/>
      <c r="AC445" s="273"/>
      <c r="AD445" s="273"/>
      <c r="AF445" s="273"/>
      <c r="AG445" s="273"/>
      <c r="AH445" s="273"/>
      <c r="AJ445" s="273"/>
      <c r="AK445" s="273"/>
      <c r="AL445" s="273"/>
    </row>
    <row r="446" spans="1:38">
      <c r="A446" s="9"/>
      <c r="B446" s="260"/>
      <c r="C446" s="298"/>
      <c r="D446" s="294"/>
      <c r="E446" s="294"/>
      <c r="F446" s="267" t="s">
        <v>407</v>
      </c>
      <c r="G446" s="295" t="s">
        <v>437</v>
      </c>
      <c r="H446" s="295"/>
      <c r="J446" s="267" t="str">
        <f t="shared" si="34"/>
        <v>WED:</v>
      </c>
      <c r="K446" s="295"/>
      <c r="L446" s="295"/>
      <c r="M446" s="296"/>
      <c r="N446" s="267" t="s">
        <v>407</v>
      </c>
      <c r="O446" s="295"/>
      <c r="P446" s="295"/>
      <c r="Q446" s="296"/>
      <c r="R446" s="267" t="s">
        <v>408</v>
      </c>
      <c r="S446" s="297"/>
      <c r="T446" s="297"/>
      <c r="U446" s="243"/>
      <c r="X446" s="273"/>
      <c r="Y446" s="273"/>
      <c r="Z446" s="273"/>
      <c r="AB446" s="273"/>
      <c r="AC446" s="273"/>
      <c r="AD446" s="273"/>
      <c r="AF446" s="273"/>
      <c r="AG446" s="273"/>
      <c r="AH446" s="273"/>
      <c r="AJ446" s="273"/>
      <c r="AK446" s="273"/>
      <c r="AL446" s="273"/>
    </row>
    <row r="447" spans="1:38" ht="24">
      <c r="A447" s="9"/>
      <c r="B447" s="260"/>
      <c r="C447" s="274" t="s">
        <v>410</v>
      </c>
      <c r="D447" s="294"/>
      <c r="E447" s="294"/>
      <c r="F447" s="267" t="s">
        <v>411</v>
      </c>
      <c r="G447" s="295" t="s">
        <v>437</v>
      </c>
      <c r="H447" s="295"/>
      <c r="J447" s="267" t="str">
        <f t="shared" si="34"/>
        <v>THU:</v>
      </c>
      <c r="K447" s="295"/>
      <c r="L447" s="295"/>
      <c r="M447" s="296"/>
      <c r="N447" s="267" t="s">
        <v>411</v>
      </c>
      <c r="O447" s="295"/>
      <c r="P447" s="295"/>
      <c r="Q447" s="296"/>
      <c r="R447" s="267" t="s">
        <v>412</v>
      </c>
      <c r="S447" s="297"/>
      <c r="T447" s="297"/>
      <c r="U447" s="243"/>
      <c r="X447" s="273"/>
      <c r="Y447" s="273"/>
      <c r="Z447" s="273"/>
      <c r="AB447" s="273"/>
      <c r="AC447" s="273"/>
      <c r="AD447" s="273"/>
      <c r="AF447" s="273"/>
      <c r="AG447" s="273"/>
      <c r="AH447" s="273"/>
      <c r="AJ447" s="273"/>
      <c r="AK447" s="273"/>
      <c r="AL447" s="273"/>
    </row>
    <row r="448" spans="1:38">
      <c r="A448" s="9"/>
      <c r="B448" s="260"/>
      <c r="C448" s="274"/>
      <c r="D448" s="294"/>
      <c r="E448" s="294"/>
      <c r="F448" s="267" t="s">
        <v>414</v>
      </c>
      <c r="G448" s="295" t="s">
        <v>437</v>
      </c>
      <c r="H448" s="295"/>
      <c r="J448" s="267" t="str">
        <f t="shared" si="34"/>
        <v>FRI:</v>
      </c>
      <c r="K448" s="295"/>
      <c r="L448" s="295"/>
      <c r="M448" s="296"/>
      <c r="N448" s="267" t="s">
        <v>414</v>
      </c>
      <c r="O448" s="295"/>
      <c r="P448" s="295"/>
      <c r="Q448" s="296"/>
      <c r="R448" s="267" t="s">
        <v>415</v>
      </c>
      <c r="S448" s="297"/>
      <c r="T448" s="297"/>
      <c r="U448" s="243"/>
      <c r="X448" s="273"/>
      <c r="Y448" s="273"/>
      <c r="Z448" s="273"/>
      <c r="AB448" s="273"/>
      <c r="AC448" s="273"/>
      <c r="AD448" s="273"/>
      <c r="AF448" s="273"/>
      <c r="AG448" s="273"/>
      <c r="AH448" s="273"/>
      <c r="AJ448" s="273"/>
      <c r="AK448" s="273"/>
      <c r="AL448" s="273"/>
    </row>
    <row r="449" spans="1:38">
      <c r="A449" s="9"/>
      <c r="B449" s="260"/>
      <c r="C449" s="238" t="str">
        <f>IF(AND(C445="Other",OR(D449=" ",D449="")),"Select Type →",IF(AND(NOT(C445="Other"),AND(NOT(D449=" "),NOT(D449=""))),"Deselect Type→",VLOOKUP(C445,$BL$6:$BM$19,2,0)))</f>
        <v>On/Off</v>
      </c>
      <c r="D449" s="299"/>
      <c r="E449" s="299"/>
      <c r="F449" s="267" t="s">
        <v>418</v>
      </c>
      <c r="G449" s="295" t="s">
        <v>437</v>
      </c>
      <c r="H449" s="295"/>
      <c r="J449" s="267" t="str">
        <f t="shared" si="34"/>
        <v>SAT:</v>
      </c>
      <c r="K449" s="295"/>
      <c r="L449" s="295"/>
      <c r="M449" s="296"/>
      <c r="N449" s="267" t="s">
        <v>418</v>
      </c>
      <c r="O449" s="295"/>
      <c r="P449" s="295"/>
      <c r="Q449" s="296"/>
      <c r="R449" s="267" t="s">
        <v>419</v>
      </c>
      <c r="S449" s="297"/>
      <c r="T449" s="297"/>
      <c r="U449" s="243"/>
      <c r="X449" s="273"/>
      <c r="Y449" s="273"/>
      <c r="Z449" s="273"/>
      <c r="AB449" s="273"/>
      <c r="AC449" s="273"/>
      <c r="AD449" s="273"/>
      <c r="AF449" s="273"/>
      <c r="AG449" s="273"/>
      <c r="AH449" s="273"/>
      <c r="AJ449" s="273"/>
      <c r="AK449" s="273"/>
      <c r="AL449" s="273"/>
    </row>
    <row r="450" spans="1:38">
      <c r="A450" s="9"/>
      <c r="B450" s="260"/>
      <c r="C450" s="238"/>
      <c r="D450" s="299"/>
      <c r="E450" s="299"/>
      <c r="F450" s="267" t="s">
        <v>421</v>
      </c>
      <c r="G450" s="295" t="s">
        <v>437</v>
      </c>
      <c r="H450" s="295"/>
      <c r="J450" s="267" t="str">
        <f t="shared" si="34"/>
        <v>HOL:</v>
      </c>
      <c r="K450" s="295"/>
      <c r="L450" s="295"/>
      <c r="M450" s="296"/>
      <c r="N450" s="267" t="s">
        <v>421</v>
      </c>
      <c r="O450" s="295"/>
      <c r="P450" s="295"/>
      <c r="Q450" s="296"/>
      <c r="R450" s="267" t="s">
        <v>391</v>
      </c>
      <c r="S450" s="297"/>
      <c r="T450" s="297"/>
      <c r="U450" s="243"/>
      <c r="X450" s="273"/>
      <c r="Y450" s="273"/>
      <c r="Z450" s="273"/>
      <c r="AB450" s="273"/>
      <c r="AC450" s="273"/>
      <c r="AD450" s="273"/>
      <c r="AF450" s="273"/>
      <c r="AG450" s="273"/>
      <c r="AH450" s="273"/>
      <c r="AJ450" s="273"/>
      <c r="AK450" s="273"/>
      <c r="AL450" s="273"/>
    </row>
    <row r="451" spans="1:38">
      <c r="A451" s="9"/>
      <c r="B451" s="260"/>
      <c r="C451" s="300"/>
      <c r="D451" s="300"/>
      <c r="E451" s="300"/>
      <c r="F451" s="267" t="s">
        <v>424</v>
      </c>
      <c r="G451" s="295" t="s">
        <v>438</v>
      </c>
      <c r="H451" s="295"/>
      <c r="J451" s="267" t="str">
        <f t="shared" si="34"/>
        <v>HDD:</v>
      </c>
      <c r="K451" s="295"/>
      <c r="L451" s="295"/>
      <c r="M451" s="296"/>
      <c r="N451" s="267" t="s">
        <v>424</v>
      </c>
      <c r="O451" s="295"/>
      <c r="P451" s="295"/>
      <c r="Q451" s="296"/>
      <c r="R451" s="267" t="s">
        <v>426</v>
      </c>
      <c r="S451" s="297"/>
      <c r="T451" s="297"/>
      <c r="U451" s="243"/>
    </row>
    <row r="452" spans="1:38">
      <c r="A452" s="9"/>
      <c r="B452" s="260"/>
      <c r="C452" s="300"/>
      <c r="D452" s="300"/>
      <c r="E452" s="300"/>
      <c r="F452" s="267" t="s">
        <v>429</v>
      </c>
      <c r="G452" s="295" t="s">
        <v>439</v>
      </c>
      <c r="H452" s="295"/>
      <c r="I452" s="296"/>
      <c r="J452" s="267" t="str">
        <f t="shared" si="34"/>
        <v>CDD:</v>
      </c>
      <c r="K452" s="295"/>
      <c r="L452" s="295"/>
      <c r="M452" s="296"/>
      <c r="N452" s="267" t="s">
        <v>429</v>
      </c>
      <c r="O452" s="295"/>
      <c r="P452" s="295"/>
      <c r="Q452" s="296"/>
      <c r="R452" s="267" t="s">
        <v>431</v>
      </c>
      <c r="S452" s="297"/>
      <c r="T452" s="297"/>
      <c r="U452" s="243"/>
    </row>
    <row r="453" spans="1:38">
      <c r="A453" s="9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43"/>
    </row>
    <row r="454" spans="1:38" ht="28.5">
      <c r="A454" s="9">
        <f>A440+1</f>
        <v>33</v>
      </c>
      <c r="B454" s="282" t="s">
        <v>376</v>
      </c>
      <c r="C454" s="287" t="s">
        <v>435</v>
      </c>
      <c r="D454" s="287"/>
      <c r="E454" s="287"/>
      <c r="F454" s="249" t="s">
        <v>378</v>
      </c>
      <c r="G454" s="288" t="s">
        <v>379</v>
      </c>
      <c r="H454" s="289">
        <v>1</v>
      </c>
      <c r="I454" s="289"/>
      <c r="J454" s="249" t="s">
        <v>378</v>
      </c>
      <c r="K454" s="290" t="str">
        <f>IF(AND(G455="December",H455=31)," ",IF(VLOOKUP(G455,D!$G$5:$I$16,3,0)=H455,LOOKUP(VLOOKUP(G455,D!$G$4:$H$16,2,0)+1,D!$H$4:$H$16,D!$G$4:$G$16),G455))</f>
        <v>January</v>
      </c>
      <c r="L454" s="289">
        <f>IF(K454=" "," ",IF(K454=G455,H455+1,1))</f>
        <v>29</v>
      </c>
      <c r="M454" s="289"/>
      <c r="N454" s="249" t="s">
        <v>378</v>
      </c>
      <c r="O454" s="288" t="str">
        <f>IF(OR(K455=" ",AND(K455="December",L455=31))," ",IF(VLOOKUP(K455,D!$G$5:$I$16,3,0)=L455,LOOKUP(VLOOKUP(K455,D!$G$4:$H$16,2,0)+1,D!$H$4:$H$16,D!$G$4:$G$16),K455))</f>
        <v>June</v>
      </c>
      <c r="P454" s="289">
        <f>IF(O454=" "," ",IF(O454=K455,L455+1,1))</f>
        <v>9</v>
      </c>
      <c r="Q454" s="289"/>
      <c r="R454" s="249" t="s">
        <v>378</v>
      </c>
      <c r="S454" s="288" t="str">
        <f>IF(OR(O455=" ",AND(O455="December",P455=31))," ",IF(VLOOKUP(O455,D!$G$5:$I$16,3,0)=P455,LOOKUP(VLOOKUP(O455,D!$G$4:$H$16,2,0)+1,D!$H$4:$H$16,D!$G$4:$G$16),O455))</f>
        <v>September</v>
      </c>
      <c r="T454" s="289">
        <f>IF(S454=" "," ",IF(S454=O455,P455+1,1))</f>
        <v>9</v>
      </c>
      <c r="U454" s="243"/>
    </row>
    <row r="455" spans="1:38" ht="28.5">
      <c r="A455" s="9"/>
      <c r="B455" s="282"/>
      <c r="C455" s="287"/>
      <c r="D455" s="287"/>
      <c r="E455" s="287"/>
      <c r="F455" s="255" t="s">
        <v>380</v>
      </c>
      <c r="G455" s="291" t="s">
        <v>379</v>
      </c>
      <c r="H455" s="292">
        <v>28</v>
      </c>
      <c r="I455" s="292"/>
      <c r="J455" s="255" t="s">
        <v>380</v>
      </c>
      <c r="K455" s="291" t="s">
        <v>383</v>
      </c>
      <c r="L455" s="292">
        <v>8</v>
      </c>
      <c r="M455" s="292"/>
      <c r="N455" s="255" t="s">
        <v>380</v>
      </c>
      <c r="O455" s="291" t="s">
        <v>436</v>
      </c>
      <c r="P455" s="292">
        <v>8</v>
      </c>
      <c r="Q455" s="292"/>
      <c r="R455" s="255" t="s">
        <v>380</v>
      </c>
      <c r="S455" s="291" t="s">
        <v>384</v>
      </c>
      <c r="T455" s="292">
        <v>31</v>
      </c>
      <c r="U455" s="243"/>
      <c r="X455" s="273"/>
      <c r="Y455" s="273"/>
      <c r="Z455" s="273"/>
      <c r="AB455" s="273"/>
      <c r="AC455" s="273"/>
      <c r="AD455" s="273"/>
      <c r="AF455" s="273"/>
      <c r="AG455" s="273"/>
      <c r="AH455" s="273"/>
      <c r="AJ455" s="273"/>
      <c r="AK455" s="273"/>
      <c r="AL455" s="273"/>
    </row>
    <row r="456" spans="1:38">
      <c r="A456" s="9"/>
      <c r="B456" s="260"/>
      <c r="C456" s="293" t="s">
        <v>395</v>
      </c>
      <c r="D456" s="294"/>
      <c r="E456" s="294"/>
      <c r="F456" s="262"/>
      <c r="G456" s="263" t="str">
        <f>IF(OR(H455&gt;VLOOKUP(G455,D!$G$4:$I$16,3,0),AND(G455=G454,H455&lt;=H454),VLOOKUP(G455,D!$G$4:$H$16,2,0)&lt;VLOOKUP(G454,D!$G$4:$H$16,2,0)),"Must correct date!","")</f>
        <v/>
      </c>
      <c r="H456" s="263"/>
      <c r="J456" s="262"/>
      <c r="K456" s="263" t="str">
        <f>IF(AND(K455=" ",K454=" "),"",IF(OR(L455&gt;VLOOKUP(K455,D!$G$4:$I$16,3,0),AND(K455=K454,L455&lt;=L454),VLOOKUP(K455,D!$G$4:$H$16,2,0)&lt;VLOOKUP(K454,D!$G$4:$H$16,2,0)),"Must correct date!",""))</f>
        <v/>
      </c>
      <c r="L456" s="263"/>
      <c r="N456" s="262"/>
      <c r="O456" s="263" t="str">
        <f>IF(AND(O455=" ",O454=" "),"",IF(OR(P455&gt;VLOOKUP(O455,D!$G$4:$I$16,3,0),AND(O455=O454,P455&lt;=P454),VLOOKUP(O455,D!$G$4:$H$16,2,0)&lt;VLOOKUP(O454,D!$G$4:$H$16,2,0)),"Must correct date!",""))</f>
        <v/>
      </c>
      <c r="P456" s="263"/>
      <c r="R456" s="262"/>
      <c r="S456" s="265" t="str">
        <f>IF(AND(S455=" ",S454=" "),"",IF(OR(T455&gt;VLOOKUP(S455,D!$G$4:$I$16,3,0),AND(S455=S454,T455&lt;=T454),VLOOKUP(S455,D!$G$4:$H$16,2,0)&lt;VLOOKUP(S454,D!$G$4:$H$16,2,0)),"Must correct date!",""))</f>
        <v/>
      </c>
      <c r="T456" s="265"/>
      <c r="U456" s="243"/>
      <c r="X456" s="273"/>
      <c r="Y456" s="273"/>
      <c r="Z456" s="273"/>
      <c r="AB456" s="273"/>
      <c r="AC456" s="273"/>
      <c r="AD456" s="273"/>
      <c r="AF456" s="273"/>
      <c r="AG456" s="273"/>
      <c r="AH456" s="273"/>
      <c r="AJ456" s="273"/>
      <c r="AK456" s="273"/>
      <c r="AL456" s="273"/>
    </row>
    <row r="457" spans="1:38">
      <c r="A457" s="9"/>
      <c r="B457" s="260"/>
      <c r="C457" s="293"/>
      <c r="D457" s="294"/>
      <c r="E457" s="294"/>
      <c r="F457" s="267" t="s">
        <v>389</v>
      </c>
      <c r="G457" s="295" t="s">
        <v>437</v>
      </c>
      <c r="H457" s="295"/>
      <c r="I457" s="296"/>
      <c r="J457" s="267" t="str">
        <f t="shared" ref="J457:J466" si="35">$F457</f>
        <v>SUN:</v>
      </c>
      <c r="K457" s="295"/>
      <c r="L457" s="295"/>
      <c r="M457" s="296"/>
      <c r="N457" s="267" t="s">
        <v>389</v>
      </c>
      <c r="O457" s="295"/>
      <c r="P457" s="295"/>
      <c r="Q457" s="296"/>
      <c r="R457" s="267" t="s">
        <v>391</v>
      </c>
      <c r="S457" s="297"/>
      <c r="T457" s="297"/>
      <c r="U457" s="243"/>
      <c r="X457" s="273"/>
      <c r="Y457" s="273"/>
      <c r="Z457" s="273"/>
      <c r="AB457" s="273"/>
      <c r="AC457" s="273"/>
      <c r="AD457" s="273"/>
      <c r="AF457" s="273"/>
      <c r="AG457" s="273"/>
      <c r="AH457" s="273"/>
      <c r="AJ457" s="273"/>
      <c r="AK457" s="273"/>
      <c r="AL457" s="273"/>
    </row>
    <row r="458" spans="1:38">
      <c r="A458" s="9"/>
      <c r="B458" s="260"/>
      <c r="C458" s="293"/>
      <c r="D458" s="294"/>
      <c r="E458" s="294"/>
      <c r="F458" s="267" t="s">
        <v>396</v>
      </c>
      <c r="G458" s="295" t="s">
        <v>437</v>
      </c>
      <c r="H458" s="295"/>
      <c r="J458" s="267" t="str">
        <f t="shared" si="35"/>
        <v>MON:</v>
      </c>
      <c r="K458" s="295"/>
      <c r="L458" s="295"/>
      <c r="M458" s="296"/>
      <c r="N458" s="267" t="s">
        <v>396</v>
      </c>
      <c r="O458" s="295"/>
      <c r="P458" s="295"/>
      <c r="Q458" s="296"/>
      <c r="R458" s="267" t="s">
        <v>397</v>
      </c>
      <c r="S458" s="297"/>
      <c r="T458" s="297"/>
      <c r="U458" s="243"/>
      <c r="X458" s="273"/>
      <c r="Y458" s="273"/>
      <c r="Z458" s="273"/>
      <c r="AB458" s="273"/>
      <c r="AC458" s="273"/>
      <c r="AD458" s="273"/>
      <c r="AF458" s="273"/>
      <c r="AG458" s="273"/>
      <c r="AH458" s="273"/>
      <c r="AJ458" s="273"/>
      <c r="AK458" s="273"/>
      <c r="AL458" s="273"/>
    </row>
    <row r="459" spans="1:38" ht="28.5">
      <c r="A459" s="9"/>
      <c r="B459" s="260"/>
      <c r="C459" s="298" t="s">
        <v>387</v>
      </c>
      <c r="D459" s="294"/>
      <c r="E459" s="294"/>
      <c r="F459" s="267" t="s">
        <v>402</v>
      </c>
      <c r="G459" s="295" t="s">
        <v>437</v>
      </c>
      <c r="H459" s="295"/>
      <c r="J459" s="267" t="str">
        <f t="shared" si="35"/>
        <v>TUE:</v>
      </c>
      <c r="K459" s="295"/>
      <c r="L459" s="295"/>
      <c r="M459" s="296"/>
      <c r="N459" s="267" t="s">
        <v>402</v>
      </c>
      <c r="O459" s="295"/>
      <c r="P459" s="295"/>
      <c r="Q459" s="296"/>
      <c r="R459" s="267" t="s">
        <v>403</v>
      </c>
      <c r="S459" s="297"/>
      <c r="T459" s="297"/>
      <c r="U459" s="243"/>
      <c r="X459" s="273"/>
      <c r="Y459" s="273"/>
      <c r="Z459" s="273"/>
      <c r="AB459" s="273"/>
      <c r="AC459" s="273"/>
      <c r="AD459" s="273"/>
      <c r="AF459" s="273"/>
      <c r="AG459" s="273"/>
      <c r="AH459" s="273"/>
      <c r="AJ459" s="273"/>
      <c r="AK459" s="273"/>
      <c r="AL459" s="273"/>
    </row>
    <row r="460" spans="1:38">
      <c r="A460" s="9"/>
      <c r="B460" s="260"/>
      <c r="C460" s="298"/>
      <c r="D460" s="294"/>
      <c r="E460" s="294"/>
      <c r="F460" s="267" t="s">
        <v>407</v>
      </c>
      <c r="G460" s="295" t="s">
        <v>437</v>
      </c>
      <c r="H460" s="295"/>
      <c r="J460" s="267" t="str">
        <f t="shared" si="35"/>
        <v>WED:</v>
      </c>
      <c r="K460" s="295"/>
      <c r="L460" s="295"/>
      <c r="M460" s="296"/>
      <c r="N460" s="267" t="s">
        <v>407</v>
      </c>
      <c r="O460" s="295"/>
      <c r="P460" s="295"/>
      <c r="Q460" s="296"/>
      <c r="R460" s="267" t="s">
        <v>408</v>
      </c>
      <c r="S460" s="297"/>
      <c r="T460" s="297"/>
      <c r="U460" s="243"/>
      <c r="X460" s="273"/>
      <c r="Y460" s="273"/>
      <c r="Z460" s="273"/>
      <c r="AB460" s="273"/>
      <c r="AC460" s="273"/>
      <c r="AD460" s="273"/>
      <c r="AF460" s="273"/>
      <c r="AG460" s="273"/>
      <c r="AH460" s="273"/>
      <c r="AJ460" s="273"/>
      <c r="AK460" s="273"/>
      <c r="AL460" s="273"/>
    </row>
    <row r="461" spans="1:38" ht="24">
      <c r="A461" s="9"/>
      <c r="B461" s="260"/>
      <c r="C461" s="274" t="s">
        <v>410</v>
      </c>
      <c r="D461" s="294"/>
      <c r="E461" s="294"/>
      <c r="F461" s="267" t="s">
        <v>411</v>
      </c>
      <c r="G461" s="295" t="s">
        <v>437</v>
      </c>
      <c r="H461" s="295"/>
      <c r="J461" s="267" t="str">
        <f t="shared" si="35"/>
        <v>THU:</v>
      </c>
      <c r="K461" s="295"/>
      <c r="L461" s="295"/>
      <c r="M461" s="296"/>
      <c r="N461" s="267" t="s">
        <v>411</v>
      </c>
      <c r="O461" s="295"/>
      <c r="P461" s="295"/>
      <c r="Q461" s="296"/>
      <c r="R461" s="267" t="s">
        <v>412</v>
      </c>
      <c r="S461" s="297"/>
      <c r="T461" s="297"/>
      <c r="U461" s="243"/>
      <c r="X461" s="273"/>
      <c r="Y461" s="273"/>
      <c r="Z461" s="273"/>
      <c r="AB461" s="273"/>
      <c r="AC461" s="273"/>
      <c r="AD461" s="273"/>
      <c r="AF461" s="273"/>
      <c r="AG461" s="273"/>
      <c r="AH461" s="273"/>
      <c r="AJ461" s="273"/>
      <c r="AK461" s="273"/>
      <c r="AL461" s="273"/>
    </row>
    <row r="462" spans="1:38">
      <c r="A462" s="9"/>
      <c r="B462" s="260"/>
      <c r="C462" s="274"/>
      <c r="D462" s="294"/>
      <c r="E462" s="294"/>
      <c r="F462" s="267" t="s">
        <v>414</v>
      </c>
      <c r="G462" s="295" t="s">
        <v>437</v>
      </c>
      <c r="H462" s="295"/>
      <c r="J462" s="267" t="str">
        <f t="shared" si="35"/>
        <v>FRI:</v>
      </c>
      <c r="K462" s="295"/>
      <c r="L462" s="295"/>
      <c r="M462" s="296"/>
      <c r="N462" s="267" t="s">
        <v>414</v>
      </c>
      <c r="O462" s="295"/>
      <c r="P462" s="295"/>
      <c r="Q462" s="296"/>
      <c r="R462" s="267" t="s">
        <v>415</v>
      </c>
      <c r="S462" s="297"/>
      <c r="T462" s="297"/>
      <c r="U462" s="243"/>
      <c r="X462" s="273"/>
      <c r="Y462" s="273"/>
      <c r="Z462" s="273"/>
      <c r="AB462" s="273"/>
      <c r="AC462" s="273"/>
      <c r="AD462" s="273"/>
      <c r="AF462" s="273"/>
      <c r="AG462" s="273"/>
      <c r="AH462" s="273"/>
      <c r="AJ462" s="273"/>
      <c r="AK462" s="273"/>
      <c r="AL462" s="273"/>
    </row>
    <row r="463" spans="1:38">
      <c r="A463" s="9"/>
      <c r="B463" s="260"/>
      <c r="C463" s="238" t="str">
        <f>IF(AND(C459="Other",OR(D463=" ",D463="")),"Select Type →",IF(AND(NOT(C459="Other"),AND(NOT(D463=" "),NOT(D463=""))),"Deselect Type→",VLOOKUP(C459,$BL$6:$BM$19,2,0)))</f>
        <v>On/Off</v>
      </c>
      <c r="D463" s="299"/>
      <c r="E463" s="299"/>
      <c r="F463" s="267" t="s">
        <v>418</v>
      </c>
      <c r="G463" s="295" t="s">
        <v>437</v>
      </c>
      <c r="H463" s="295"/>
      <c r="J463" s="267" t="str">
        <f t="shared" si="35"/>
        <v>SAT:</v>
      </c>
      <c r="K463" s="295"/>
      <c r="L463" s="295"/>
      <c r="M463" s="296"/>
      <c r="N463" s="267" t="s">
        <v>418</v>
      </c>
      <c r="O463" s="295"/>
      <c r="P463" s="295"/>
      <c r="Q463" s="296"/>
      <c r="R463" s="267" t="s">
        <v>419</v>
      </c>
      <c r="S463" s="297"/>
      <c r="T463" s="297"/>
      <c r="U463" s="243"/>
      <c r="X463" s="273"/>
      <c r="Y463" s="273"/>
      <c r="Z463" s="273"/>
      <c r="AB463" s="273"/>
      <c r="AC463" s="273"/>
      <c r="AD463" s="273"/>
      <c r="AF463" s="273"/>
      <c r="AG463" s="273"/>
      <c r="AH463" s="273"/>
      <c r="AJ463" s="273"/>
      <c r="AK463" s="273"/>
      <c r="AL463" s="273"/>
    </row>
    <row r="464" spans="1:38">
      <c r="A464" s="9"/>
      <c r="B464" s="260"/>
      <c r="C464" s="238"/>
      <c r="D464" s="299"/>
      <c r="E464" s="299"/>
      <c r="F464" s="267" t="s">
        <v>421</v>
      </c>
      <c r="G464" s="295" t="s">
        <v>437</v>
      </c>
      <c r="H464" s="295"/>
      <c r="J464" s="267" t="str">
        <f t="shared" si="35"/>
        <v>HOL:</v>
      </c>
      <c r="K464" s="295"/>
      <c r="L464" s="295"/>
      <c r="M464" s="296"/>
      <c r="N464" s="267" t="s">
        <v>421</v>
      </c>
      <c r="O464" s="295"/>
      <c r="P464" s="295"/>
      <c r="Q464" s="296"/>
      <c r="R464" s="267" t="s">
        <v>391</v>
      </c>
      <c r="S464" s="297"/>
      <c r="T464" s="297"/>
      <c r="U464" s="243"/>
      <c r="X464" s="273"/>
      <c r="Y464" s="273"/>
      <c r="Z464" s="273"/>
      <c r="AB464" s="273"/>
      <c r="AC464" s="273"/>
      <c r="AD464" s="273"/>
      <c r="AF464" s="273"/>
      <c r="AG464" s="273"/>
      <c r="AH464" s="273"/>
      <c r="AJ464" s="273"/>
      <c r="AK464" s="273"/>
      <c r="AL464" s="273"/>
    </row>
    <row r="465" spans="1:38">
      <c r="A465" s="9"/>
      <c r="B465" s="260"/>
      <c r="C465" s="300"/>
      <c r="D465" s="300"/>
      <c r="E465" s="300"/>
      <c r="F465" s="267" t="s">
        <v>424</v>
      </c>
      <c r="G465" s="295" t="s">
        <v>438</v>
      </c>
      <c r="H465" s="295"/>
      <c r="J465" s="267" t="str">
        <f t="shared" si="35"/>
        <v>HDD:</v>
      </c>
      <c r="K465" s="295"/>
      <c r="L465" s="295"/>
      <c r="M465" s="296"/>
      <c r="N465" s="267" t="s">
        <v>424</v>
      </c>
      <c r="O465" s="295"/>
      <c r="P465" s="295"/>
      <c r="Q465" s="296"/>
      <c r="R465" s="267" t="s">
        <v>426</v>
      </c>
      <c r="S465" s="297"/>
      <c r="T465" s="297"/>
      <c r="U465" s="243"/>
    </row>
    <row r="466" spans="1:38">
      <c r="A466" s="9"/>
      <c r="B466" s="260"/>
      <c r="C466" s="300"/>
      <c r="D466" s="300"/>
      <c r="E466" s="300"/>
      <c r="F466" s="267" t="s">
        <v>429</v>
      </c>
      <c r="G466" s="295" t="s">
        <v>439</v>
      </c>
      <c r="H466" s="295"/>
      <c r="I466" s="296"/>
      <c r="J466" s="267" t="str">
        <f t="shared" si="35"/>
        <v>CDD:</v>
      </c>
      <c r="K466" s="295"/>
      <c r="L466" s="295"/>
      <c r="M466" s="296"/>
      <c r="N466" s="267" t="s">
        <v>429</v>
      </c>
      <c r="O466" s="295"/>
      <c r="P466" s="295"/>
      <c r="Q466" s="296"/>
      <c r="R466" s="267" t="s">
        <v>431</v>
      </c>
      <c r="S466" s="297"/>
      <c r="T466" s="297"/>
      <c r="U466" s="243"/>
    </row>
    <row r="467" spans="1:38">
      <c r="A467" s="9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43"/>
    </row>
    <row r="468" spans="1:38" ht="28.5">
      <c r="A468" s="9">
        <f>A454+1</f>
        <v>34</v>
      </c>
      <c r="B468" s="282" t="s">
        <v>376</v>
      </c>
      <c r="C468" s="287" t="s">
        <v>435</v>
      </c>
      <c r="D468" s="287"/>
      <c r="E468" s="287"/>
      <c r="F468" s="249" t="s">
        <v>378</v>
      </c>
      <c r="G468" s="288" t="s">
        <v>379</v>
      </c>
      <c r="H468" s="289">
        <v>1</v>
      </c>
      <c r="I468" s="289"/>
      <c r="J468" s="249" t="s">
        <v>378</v>
      </c>
      <c r="K468" s="290" t="str">
        <f>IF(AND(G469="December",H469=31)," ",IF(VLOOKUP(G469,D!$G$5:$I$16,3,0)=H469,LOOKUP(VLOOKUP(G469,D!$G$4:$H$16,2,0)+1,D!$H$4:$H$16,D!$G$4:$G$16),G469))</f>
        <v>January</v>
      </c>
      <c r="L468" s="289">
        <f>IF(K468=" "," ",IF(K468=G469,H469+1,1))</f>
        <v>29</v>
      </c>
      <c r="M468" s="289"/>
      <c r="N468" s="249" t="s">
        <v>378</v>
      </c>
      <c r="O468" s="288" t="str">
        <f>IF(OR(K469=" ",AND(K469="December",L469=31))," ",IF(VLOOKUP(K469,D!$G$5:$I$16,3,0)=L469,LOOKUP(VLOOKUP(K469,D!$G$4:$H$16,2,0)+1,D!$H$4:$H$16,D!$G$4:$G$16),K469))</f>
        <v>June</v>
      </c>
      <c r="P468" s="289">
        <f>IF(O468=" "," ",IF(O468=K469,L469+1,1))</f>
        <v>9</v>
      </c>
      <c r="Q468" s="289"/>
      <c r="R468" s="249" t="s">
        <v>378</v>
      </c>
      <c r="S468" s="288" t="str">
        <f>IF(OR(O469=" ",AND(O469="December",P469=31))," ",IF(VLOOKUP(O469,D!$G$5:$I$16,3,0)=P469,LOOKUP(VLOOKUP(O469,D!$G$4:$H$16,2,0)+1,D!$H$4:$H$16,D!$G$4:$G$16),O469))</f>
        <v>September</v>
      </c>
      <c r="T468" s="289">
        <f>IF(S468=" "," ",IF(S468=O469,P469+1,1))</f>
        <v>9</v>
      </c>
      <c r="U468" s="243"/>
    </row>
    <row r="469" spans="1:38" ht="28.5">
      <c r="A469" s="9"/>
      <c r="B469" s="282"/>
      <c r="C469" s="287"/>
      <c r="D469" s="287"/>
      <c r="E469" s="287"/>
      <c r="F469" s="255" t="s">
        <v>380</v>
      </c>
      <c r="G469" s="291" t="s">
        <v>379</v>
      </c>
      <c r="H469" s="292">
        <v>28</v>
      </c>
      <c r="I469" s="292"/>
      <c r="J469" s="255" t="s">
        <v>380</v>
      </c>
      <c r="K469" s="291" t="s">
        <v>383</v>
      </c>
      <c r="L469" s="292">
        <v>8</v>
      </c>
      <c r="M469" s="292"/>
      <c r="N469" s="255" t="s">
        <v>380</v>
      </c>
      <c r="O469" s="291" t="s">
        <v>436</v>
      </c>
      <c r="P469" s="292">
        <v>8</v>
      </c>
      <c r="Q469" s="292"/>
      <c r="R469" s="255" t="s">
        <v>380</v>
      </c>
      <c r="S469" s="291" t="s">
        <v>384</v>
      </c>
      <c r="T469" s="292">
        <v>31</v>
      </c>
      <c r="U469" s="243"/>
      <c r="X469" s="273"/>
      <c r="Y469" s="273"/>
      <c r="Z469" s="273"/>
      <c r="AB469" s="273"/>
      <c r="AC469" s="273"/>
      <c r="AD469" s="273"/>
      <c r="AF469" s="273"/>
      <c r="AG469" s="273"/>
      <c r="AH469" s="273"/>
      <c r="AJ469" s="273"/>
      <c r="AK469" s="273"/>
      <c r="AL469" s="273"/>
    </row>
    <row r="470" spans="1:38">
      <c r="A470" s="9"/>
      <c r="B470" s="260"/>
      <c r="C470" s="293" t="s">
        <v>395</v>
      </c>
      <c r="D470" s="294"/>
      <c r="E470" s="294"/>
      <c r="F470" s="262"/>
      <c r="G470" s="263" t="str">
        <f>IF(OR(H469&gt;VLOOKUP(G469,D!$G$4:$I$16,3,0),AND(G469=G468,H469&lt;=H468),VLOOKUP(G469,D!$G$4:$H$16,2,0)&lt;VLOOKUP(G468,D!$G$4:$H$16,2,0)),"Must correct date!","")</f>
        <v/>
      </c>
      <c r="H470" s="263"/>
      <c r="J470" s="262"/>
      <c r="K470" s="263" t="str">
        <f>IF(AND(K469=" ",K468=" "),"",IF(OR(L469&gt;VLOOKUP(K469,D!$G$4:$I$16,3,0),AND(K469=K468,L469&lt;=L468),VLOOKUP(K469,D!$G$4:$H$16,2,0)&lt;VLOOKUP(K468,D!$G$4:$H$16,2,0)),"Must correct date!",""))</f>
        <v/>
      </c>
      <c r="L470" s="263"/>
      <c r="N470" s="262"/>
      <c r="O470" s="263" t="str">
        <f>IF(AND(O469=" ",O468=" "),"",IF(OR(P469&gt;VLOOKUP(O469,D!$G$4:$I$16,3,0),AND(O469=O468,P469&lt;=P468),VLOOKUP(O469,D!$G$4:$H$16,2,0)&lt;VLOOKUP(O468,D!$G$4:$H$16,2,0)),"Must correct date!",""))</f>
        <v/>
      </c>
      <c r="P470" s="263"/>
      <c r="R470" s="262"/>
      <c r="S470" s="265" t="str">
        <f>IF(AND(S469=" ",S468=" "),"",IF(OR(T469&gt;VLOOKUP(S469,D!$G$4:$I$16,3,0),AND(S469=S468,T469&lt;=T468),VLOOKUP(S469,D!$G$4:$H$16,2,0)&lt;VLOOKUP(S468,D!$G$4:$H$16,2,0)),"Must correct date!",""))</f>
        <v/>
      </c>
      <c r="T470" s="265"/>
      <c r="U470" s="243"/>
      <c r="X470" s="273"/>
      <c r="Y470" s="273"/>
      <c r="Z470" s="273"/>
      <c r="AB470" s="273"/>
      <c r="AC470" s="273"/>
      <c r="AD470" s="273"/>
      <c r="AF470" s="273"/>
      <c r="AG470" s="273"/>
      <c r="AH470" s="273"/>
      <c r="AJ470" s="273"/>
      <c r="AK470" s="273"/>
      <c r="AL470" s="273"/>
    </row>
    <row r="471" spans="1:38">
      <c r="A471" s="9"/>
      <c r="B471" s="260"/>
      <c r="C471" s="293"/>
      <c r="D471" s="294"/>
      <c r="E471" s="294"/>
      <c r="F471" s="267" t="s">
        <v>389</v>
      </c>
      <c r="G471" s="295" t="s">
        <v>437</v>
      </c>
      <c r="H471" s="295"/>
      <c r="I471" s="296"/>
      <c r="J471" s="267" t="str">
        <f t="shared" ref="J471:J480" si="36">$F471</f>
        <v>SUN:</v>
      </c>
      <c r="K471" s="295"/>
      <c r="L471" s="295"/>
      <c r="M471" s="296"/>
      <c r="N471" s="267" t="s">
        <v>389</v>
      </c>
      <c r="O471" s="295"/>
      <c r="P471" s="295"/>
      <c r="Q471" s="296"/>
      <c r="R471" s="267" t="s">
        <v>391</v>
      </c>
      <c r="S471" s="297"/>
      <c r="T471" s="297"/>
      <c r="U471" s="243"/>
      <c r="X471" s="273"/>
      <c r="Y471" s="273"/>
      <c r="Z471" s="273"/>
      <c r="AB471" s="273"/>
      <c r="AC471" s="273"/>
      <c r="AD471" s="273"/>
      <c r="AF471" s="273"/>
      <c r="AG471" s="273"/>
      <c r="AH471" s="273"/>
      <c r="AJ471" s="273"/>
      <c r="AK471" s="273"/>
      <c r="AL471" s="273"/>
    </row>
    <row r="472" spans="1:38">
      <c r="A472" s="9"/>
      <c r="B472" s="260"/>
      <c r="C472" s="293"/>
      <c r="D472" s="294"/>
      <c r="E472" s="294"/>
      <c r="F472" s="267" t="s">
        <v>396</v>
      </c>
      <c r="G472" s="295" t="s">
        <v>437</v>
      </c>
      <c r="H472" s="295"/>
      <c r="J472" s="267" t="str">
        <f t="shared" si="36"/>
        <v>MON:</v>
      </c>
      <c r="K472" s="295"/>
      <c r="L472" s="295"/>
      <c r="M472" s="296"/>
      <c r="N472" s="267" t="s">
        <v>396</v>
      </c>
      <c r="O472" s="295"/>
      <c r="P472" s="295"/>
      <c r="Q472" s="296"/>
      <c r="R472" s="267" t="s">
        <v>397</v>
      </c>
      <c r="S472" s="297"/>
      <c r="T472" s="297"/>
      <c r="U472" s="243"/>
      <c r="X472" s="273"/>
      <c r="Y472" s="273"/>
      <c r="Z472" s="273"/>
      <c r="AB472" s="273"/>
      <c r="AC472" s="273"/>
      <c r="AD472" s="273"/>
      <c r="AF472" s="273"/>
      <c r="AG472" s="273"/>
      <c r="AH472" s="273"/>
      <c r="AJ472" s="273"/>
      <c r="AK472" s="273"/>
      <c r="AL472" s="273"/>
    </row>
    <row r="473" spans="1:38" ht="28.5">
      <c r="A473" s="9"/>
      <c r="B473" s="260"/>
      <c r="C473" s="298" t="s">
        <v>387</v>
      </c>
      <c r="D473" s="294"/>
      <c r="E473" s="294"/>
      <c r="F473" s="267" t="s">
        <v>402</v>
      </c>
      <c r="G473" s="295" t="s">
        <v>437</v>
      </c>
      <c r="H473" s="295"/>
      <c r="J473" s="267" t="str">
        <f t="shared" si="36"/>
        <v>TUE:</v>
      </c>
      <c r="K473" s="295"/>
      <c r="L473" s="295"/>
      <c r="M473" s="296"/>
      <c r="N473" s="267" t="s">
        <v>402</v>
      </c>
      <c r="O473" s="295"/>
      <c r="P473" s="295"/>
      <c r="Q473" s="296"/>
      <c r="R473" s="267" t="s">
        <v>403</v>
      </c>
      <c r="S473" s="297"/>
      <c r="T473" s="297"/>
      <c r="U473" s="243"/>
      <c r="X473" s="273"/>
      <c r="Y473" s="273"/>
      <c r="Z473" s="273"/>
      <c r="AB473" s="273"/>
      <c r="AC473" s="273"/>
      <c r="AD473" s="273"/>
      <c r="AF473" s="273"/>
      <c r="AG473" s="273"/>
      <c r="AH473" s="273"/>
      <c r="AJ473" s="273"/>
      <c r="AK473" s="273"/>
      <c r="AL473" s="273"/>
    </row>
    <row r="474" spans="1:38">
      <c r="A474" s="9"/>
      <c r="B474" s="260"/>
      <c r="C474" s="298"/>
      <c r="D474" s="294"/>
      <c r="E474" s="294"/>
      <c r="F474" s="267" t="s">
        <v>407</v>
      </c>
      <c r="G474" s="295" t="s">
        <v>437</v>
      </c>
      <c r="H474" s="295"/>
      <c r="J474" s="267" t="str">
        <f t="shared" si="36"/>
        <v>WED:</v>
      </c>
      <c r="K474" s="295"/>
      <c r="L474" s="295"/>
      <c r="M474" s="296"/>
      <c r="N474" s="267" t="s">
        <v>407</v>
      </c>
      <c r="O474" s="295"/>
      <c r="P474" s="295"/>
      <c r="Q474" s="296"/>
      <c r="R474" s="267" t="s">
        <v>408</v>
      </c>
      <c r="S474" s="297"/>
      <c r="T474" s="297"/>
      <c r="U474" s="243"/>
      <c r="X474" s="273"/>
      <c r="Y474" s="273"/>
      <c r="Z474" s="273"/>
      <c r="AB474" s="273"/>
      <c r="AC474" s="273"/>
      <c r="AD474" s="273"/>
      <c r="AF474" s="273"/>
      <c r="AG474" s="273"/>
      <c r="AH474" s="273"/>
      <c r="AJ474" s="273"/>
      <c r="AK474" s="273"/>
      <c r="AL474" s="273"/>
    </row>
    <row r="475" spans="1:38" ht="24">
      <c r="A475" s="9"/>
      <c r="B475" s="260"/>
      <c r="C475" s="274" t="s">
        <v>410</v>
      </c>
      <c r="D475" s="294"/>
      <c r="E475" s="294"/>
      <c r="F475" s="267" t="s">
        <v>411</v>
      </c>
      <c r="G475" s="295" t="s">
        <v>437</v>
      </c>
      <c r="H475" s="295"/>
      <c r="J475" s="267" t="str">
        <f t="shared" si="36"/>
        <v>THU:</v>
      </c>
      <c r="K475" s="295"/>
      <c r="L475" s="295"/>
      <c r="M475" s="296"/>
      <c r="N475" s="267" t="s">
        <v>411</v>
      </c>
      <c r="O475" s="295"/>
      <c r="P475" s="295"/>
      <c r="Q475" s="296"/>
      <c r="R475" s="267" t="s">
        <v>412</v>
      </c>
      <c r="S475" s="297"/>
      <c r="T475" s="297"/>
      <c r="U475" s="243"/>
      <c r="X475" s="273"/>
      <c r="Y475" s="273"/>
      <c r="Z475" s="273"/>
      <c r="AB475" s="273"/>
      <c r="AC475" s="273"/>
      <c r="AD475" s="273"/>
      <c r="AF475" s="273"/>
      <c r="AG475" s="273"/>
      <c r="AH475" s="273"/>
      <c r="AJ475" s="273"/>
      <c r="AK475" s="273"/>
      <c r="AL475" s="273"/>
    </row>
    <row r="476" spans="1:38">
      <c r="A476" s="9"/>
      <c r="B476" s="260"/>
      <c r="C476" s="274"/>
      <c r="D476" s="294"/>
      <c r="E476" s="294"/>
      <c r="F476" s="267" t="s">
        <v>414</v>
      </c>
      <c r="G476" s="295" t="s">
        <v>437</v>
      </c>
      <c r="H476" s="295"/>
      <c r="J476" s="267" t="str">
        <f t="shared" si="36"/>
        <v>FRI:</v>
      </c>
      <c r="K476" s="295"/>
      <c r="L476" s="295"/>
      <c r="M476" s="296"/>
      <c r="N476" s="267" t="s">
        <v>414</v>
      </c>
      <c r="O476" s="295"/>
      <c r="P476" s="295"/>
      <c r="Q476" s="296"/>
      <c r="R476" s="267" t="s">
        <v>415</v>
      </c>
      <c r="S476" s="297"/>
      <c r="T476" s="297"/>
      <c r="U476" s="243"/>
      <c r="X476" s="273"/>
      <c r="Y476" s="273"/>
      <c r="Z476" s="273"/>
      <c r="AB476" s="273"/>
      <c r="AC476" s="273"/>
      <c r="AD476" s="273"/>
      <c r="AF476" s="273"/>
      <c r="AG476" s="273"/>
      <c r="AH476" s="273"/>
      <c r="AJ476" s="273"/>
      <c r="AK476" s="273"/>
      <c r="AL476" s="273"/>
    </row>
    <row r="477" spans="1:38">
      <c r="A477" s="9"/>
      <c r="B477" s="260"/>
      <c r="C477" s="238" t="str">
        <f>IF(AND(C473="Other",OR(D477=" ",D477="")),"Select Type →",IF(AND(NOT(C473="Other"),AND(NOT(D477=" "),NOT(D477=""))),"Deselect Type→",VLOOKUP(C473,$BL$6:$BM$19,2,0)))</f>
        <v>On/Off</v>
      </c>
      <c r="D477" s="299"/>
      <c r="E477" s="299"/>
      <c r="F477" s="267" t="s">
        <v>418</v>
      </c>
      <c r="G477" s="295" t="s">
        <v>437</v>
      </c>
      <c r="H477" s="295"/>
      <c r="J477" s="267" t="str">
        <f t="shared" si="36"/>
        <v>SAT:</v>
      </c>
      <c r="K477" s="295"/>
      <c r="L477" s="295"/>
      <c r="M477" s="296"/>
      <c r="N477" s="267" t="s">
        <v>418</v>
      </c>
      <c r="O477" s="295"/>
      <c r="P477" s="295"/>
      <c r="Q477" s="296"/>
      <c r="R477" s="267" t="s">
        <v>419</v>
      </c>
      <c r="S477" s="297"/>
      <c r="T477" s="297"/>
      <c r="U477" s="243"/>
      <c r="X477" s="273"/>
      <c r="Y477" s="273"/>
      <c r="Z477" s="273"/>
      <c r="AB477" s="273"/>
      <c r="AC477" s="273"/>
      <c r="AD477" s="273"/>
      <c r="AF477" s="273"/>
      <c r="AG477" s="273"/>
      <c r="AH477" s="273"/>
      <c r="AJ477" s="273"/>
      <c r="AK477" s="273"/>
      <c r="AL477" s="273"/>
    </row>
    <row r="478" spans="1:38">
      <c r="A478" s="9"/>
      <c r="B478" s="260"/>
      <c r="C478" s="238"/>
      <c r="D478" s="299"/>
      <c r="E478" s="299"/>
      <c r="F478" s="267" t="s">
        <v>421</v>
      </c>
      <c r="G478" s="295" t="s">
        <v>437</v>
      </c>
      <c r="H478" s="295"/>
      <c r="J478" s="267" t="str">
        <f t="shared" si="36"/>
        <v>HOL:</v>
      </c>
      <c r="K478" s="295"/>
      <c r="L478" s="295"/>
      <c r="M478" s="296"/>
      <c r="N478" s="267" t="s">
        <v>421</v>
      </c>
      <c r="O478" s="295"/>
      <c r="P478" s="295"/>
      <c r="Q478" s="296"/>
      <c r="R478" s="267" t="s">
        <v>391</v>
      </c>
      <c r="S478" s="297"/>
      <c r="T478" s="297"/>
      <c r="U478" s="243"/>
      <c r="X478" s="273"/>
      <c r="Y478" s="273"/>
      <c r="Z478" s="273"/>
      <c r="AB478" s="273"/>
      <c r="AC478" s="273"/>
      <c r="AD478" s="273"/>
      <c r="AF478" s="273"/>
      <c r="AG478" s="273"/>
      <c r="AH478" s="273"/>
      <c r="AJ478" s="273"/>
      <c r="AK478" s="273"/>
      <c r="AL478" s="273"/>
    </row>
    <row r="479" spans="1:38">
      <c r="A479" s="9"/>
      <c r="B479" s="260"/>
      <c r="C479" s="300"/>
      <c r="D479" s="300"/>
      <c r="E479" s="300"/>
      <c r="F479" s="267" t="s">
        <v>424</v>
      </c>
      <c r="G479" s="295" t="s">
        <v>438</v>
      </c>
      <c r="H479" s="295"/>
      <c r="J479" s="267" t="str">
        <f t="shared" si="36"/>
        <v>HDD:</v>
      </c>
      <c r="K479" s="295"/>
      <c r="L479" s="295"/>
      <c r="M479" s="296"/>
      <c r="N479" s="267" t="s">
        <v>424</v>
      </c>
      <c r="O479" s="295"/>
      <c r="P479" s="295"/>
      <c r="Q479" s="296"/>
      <c r="R479" s="267" t="s">
        <v>426</v>
      </c>
      <c r="S479" s="297"/>
      <c r="T479" s="297"/>
      <c r="U479" s="243"/>
    </row>
    <row r="480" spans="1:38">
      <c r="A480" s="9"/>
      <c r="B480" s="260"/>
      <c r="C480" s="300"/>
      <c r="D480" s="300"/>
      <c r="E480" s="300"/>
      <c r="F480" s="267" t="s">
        <v>429</v>
      </c>
      <c r="G480" s="295" t="s">
        <v>439</v>
      </c>
      <c r="H480" s="295"/>
      <c r="I480" s="296"/>
      <c r="J480" s="267" t="str">
        <f t="shared" si="36"/>
        <v>CDD:</v>
      </c>
      <c r="K480" s="295"/>
      <c r="L480" s="295"/>
      <c r="M480" s="296"/>
      <c r="N480" s="267" t="s">
        <v>429</v>
      </c>
      <c r="O480" s="295"/>
      <c r="P480" s="295"/>
      <c r="Q480" s="296"/>
      <c r="R480" s="267" t="s">
        <v>431</v>
      </c>
      <c r="S480" s="297"/>
      <c r="T480" s="297"/>
      <c r="U480" s="243"/>
    </row>
    <row r="481" spans="1:38">
      <c r="A481" s="9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43"/>
    </row>
    <row r="482" spans="1:38" ht="28.5">
      <c r="A482" s="9">
        <f>A468+1</f>
        <v>35</v>
      </c>
      <c r="B482" s="282" t="s">
        <v>376</v>
      </c>
      <c r="C482" s="287" t="s">
        <v>435</v>
      </c>
      <c r="D482" s="287"/>
      <c r="E482" s="287"/>
      <c r="F482" s="249" t="s">
        <v>378</v>
      </c>
      <c r="G482" s="288" t="s">
        <v>379</v>
      </c>
      <c r="H482" s="289">
        <v>1</v>
      </c>
      <c r="I482" s="289"/>
      <c r="J482" s="249" t="s">
        <v>378</v>
      </c>
      <c r="K482" s="290" t="str">
        <f>IF(AND(G483="December",H483=31)," ",IF(VLOOKUP(G483,D!$G$5:$I$16,3,0)=H483,LOOKUP(VLOOKUP(G483,D!$G$4:$H$16,2,0)+1,D!$H$4:$H$16,D!$G$4:$G$16),G483))</f>
        <v>January</v>
      </c>
      <c r="L482" s="289">
        <f>IF(K482=" "," ",IF(K482=G483,H483+1,1))</f>
        <v>29</v>
      </c>
      <c r="M482" s="289"/>
      <c r="N482" s="249" t="s">
        <v>378</v>
      </c>
      <c r="O482" s="288" t="str">
        <f>IF(OR(K483=" ",AND(K483="December",L483=31))," ",IF(VLOOKUP(K483,D!$G$5:$I$16,3,0)=L483,LOOKUP(VLOOKUP(K483,D!$G$4:$H$16,2,0)+1,D!$H$4:$H$16,D!$G$4:$G$16),K483))</f>
        <v>June</v>
      </c>
      <c r="P482" s="289">
        <f>IF(O482=" "," ",IF(O482=K483,L483+1,1))</f>
        <v>9</v>
      </c>
      <c r="Q482" s="289"/>
      <c r="R482" s="249" t="s">
        <v>378</v>
      </c>
      <c r="S482" s="288" t="str">
        <f>IF(OR(O483=" ",AND(O483="December",P483=31))," ",IF(VLOOKUP(O483,D!$G$5:$I$16,3,0)=P483,LOOKUP(VLOOKUP(O483,D!$G$4:$H$16,2,0)+1,D!$H$4:$H$16,D!$G$4:$G$16),O483))</f>
        <v>September</v>
      </c>
      <c r="T482" s="289">
        <f>IF(S482=" "," ",IF(S482=O483,P483+1,1))</f>
        <v>9</v>
      </c>
      <c r="U482" s="243"/>
    </row>
    <row r="483" spans="1:38" ht="28.5">
      <c r="A483" s="9"/>
      <c r="B483" s="282"/>
      <c r="C483" s="287"/>
      <c r="D483" s="287"/>
      <c r="E483" s="287"/>
      <c r="F483" s="255" t="s">
        <v>380</v>
      </c>
      <c r="G483" s="291" t="s">
        <v>379</v>
      </c>
      <c r="H483" s="292">
        <v>28</v>
      </c>
      <c r="I483" s="292"/>
      <c r="J483" s="255" t="s">
        <v>380</v>
      </c>
      <c r="K483" s="291" t="s">
        <v>383</v>
      </c>
      <c r="L483" s="292">
        <v>8</v>
      </c>
      <c r="M483" s="292"/>
      <c r="N483" s="255" t="s">
        <v>380</v>
      </c>
      <c r="O483" s="291" t="s">
        <v>436</v>
      </c>
      <c r="P483" s="292">
        <v>8</v>
      </c>
      <c r="Q483" s="292"/>
      <c r="R483" s="255" t="s">
        <v>380</v>
      </c>
      <c r="S483" s="291" t="s">
        <v>384</v>
      </c>
      <c r="T483" s="292">
        <v>31</v>
      </c>
      <c r="U483" s="243"/>
      <c r="X483" s="273"/>
      <c r="Y483" s="273"/>
      <c r="Z483" s="273"/>
      <c r="AB483" s="273"/>
      <c r="AC483" s="273"/>
      <c r="AD483" s="273"/>
      <c r="AF483" s="273"/>
      <c r="AG483" s="273"/>
      <c r="AH483" s="273"/>
      <c r="AJ483" s="273"/>
      <c r="AK483" s="273"/>
      <c r="AL483" s="273"/>
    </row>
    <row r="484" spans="1:38">
      <c r="A484" s="9"/>
      <c r="B484" s="260"/>
      <c r="C484" s="293" t="s">
        <v>395</v>
      </c>
      <c r="D484" s="294"/>
      <c r="E484" s="294"/>
      <c r="F484" s="262"/>
      <c r="G484" s="263" t="str">
        <f>IF(OR(H483&gt;VLOOKUP(G483,D!$G$4:$I$16,3,0),AND(G483=G482,H483&lt;=H482),VLOOKUP(G483,D!$G$4:$H$16,2,0)&lt;VLOOKUP(G482,D!$G$4:$H$16,2,0)),"Must correct date!","")</f>
        <v/>
      </c>
      <c r="H484" s="263"/>
      <c r="J484" s="262"/>
      <c r="K484" s="263" t="str">
        <f>IF(AND(K483=" ",K482=" "),"",IF(OR(L483&gt;VLOOKUP(K483,D!$G$4:$I$16,3,0),AND(K483=K482,L483&lt;=L482),VLOOKUP(K483,D!$G$4:$H$16,2,0)&lt;VLOOKUP(K482,D!$G$4:$H$16,2,0)),"Must correct date!",""))</f>
        <v/>
      </c>
      <c r="L484" s="263"/>
      <c r="N484" s="262"/>
      <c r="O484" s="263" t="str">
        <f>IF(AND(O483=" ",O482=" "),"",IF(OR(P483&gt;VLOOKUP(O483,D!$G$4:$I$16,3,0),AND(O483=O482,P483&lt;=P482),VLOOKUP(O483,D!$G$4:$H$16,2,0)&lt;VLOOKUP(O482,D!$G$4:$H$16,2,0)),"Must correct date!",""))</f>
        <v/>
      </c>
      <c r="P484" s="263"/>
      <c r="R484" s="262"/>
      <c r="S484" s="265" t="str">
        <f>IF(AND(S483=" ",S482=" "),"",IF(OR(T483&gt;VLOOKUP(S483,D!$G$4:$I$16,3,0),AND(S483=S482,T483&lt;=T482),VLOOKUP(S483,D!$G$4:$H$16,2,0)&lt;VLOOKUP(S482,D!$G$4:$H$16,2,0)),"Must correct date!",""))</f>
        <v/>
      </c>
      <c r="T484" s="265"/>
      <c r="U484" s="243"/>
      <c r="X484" s="273"/>
      <c r="Y484" s="273"/>
      <c r="Z484" s="273"/>
      <c r="AB484" s="273"/>
      <c r="AC484" s="273"/>
      <c r="AD484" s="273"/>
      <c r="AF484" s="273"/>
      <c r="AG484" s="273"/>
      <c r="AH484" s="273"/>
      <c r="AJ484" s="273"/>
      <c r="AK484" s="273"/>
      <c r="AL484" s="273"/>
    </row>
    <row r="485" spans="1:38">
      <c r="A485" s="9"/>
      <c r="B485" s="260"/>
      <c r="C485" s="293"/>
      <c r="D485" s="294"/>
      <c r="E485" s="294"/>
      <c r="F485" s="267" t="s">
        <v>389</v>
      </c>
      <c r="G485" s="295" t="s">
        <v>437</v>
      </c>
      <c r="H485" s="295"/>
      <c r="I485" s="296"/>
      <c r="J485" s="267" t="str">
        <f t="shared" ref="J485:J494" si="37">$F485</f>
        <v>SUN:</v>
      </c>
      <c r="K485" s="295"/>
      <c r="L485" s="295"/>
      <c r="M485" s="296"/>
      <c r="N485" s="267" t="s">
        <v>389</v>
      </c>
      <c r="O485" s="295"/>
      <c r="P485" s="295"/>
      <c r="Q485" s="296"/>
      <c r="R485" s="267" t="s">
        <v>391</v>
      </c>
      <c r="S485" s="297"/>
      <c r="T485" s="297"/>
      <c r="U485" s="243"/>
      <c r="X485" s="273"/>
      <c r="Y485" s="273"/>
      <c r="Z485" s="273"/>
      <c r="AB485" s="273"/>
      <c r="AC485" s="273"/>
      <c r="AD485" s="273"/>
      <c r="AF485" s="273"/>
      <c r="AG485" s="273"/>
      <c r="AH485" s="273"/>
      <c r="AJ485" s="273"/>
      <c r="AK485" s="273"/>
      <c r="AL485" s="273"/>
    </row>
    <row r="486" spans="1:38">
      <c r="A486" s="9"/>
      <c r="B486" s="260"/>
      <c r="C486" s="293"/>
      <c r="D486" s="294"/>
      <c r="E486" s="294"/>
      <c r="F486" s="267" t="s">
        <v>396</v>
      </c>
      <c r="G486" s="295" t="s">
        <v>437</v>
      </c>
      <c r="H486" s="295"/>
      <c r="J486" s="267" t="str">
        <f t="shared" si="37"/>
        <v>MON:</v>
      </c>
      <c r="K486" s="295"/>
      <c r="L486" s="295"/>
      <c r="M486" s="296"/>
      <c r="N486" s="267" t="s">
        <v>396</v>
      </c>
      <c r="O486" s="295"/>
      <c r="P486" s="295"/>
      <c r="Q486" s="296"/>
      <c r="R486" s="267" t="s">
        <v>397</v>
      </c>
      <c r="S486" s="297"/>
      <c r="T486" s="297"/>
      <c r="U486" s="243"/>
      <c r="X486" s="273"/>
      <c r="Y486" s="273"/>
      <c r="Z486" s="273"/>
      <c r="AB486" s="273"/>
      <c r="AC486" s="273"/>
      <c r="AD486" s="273"/>
      <c r="AF486" s="273"/>
      <c r="AG486" s="273"/>
      <c r="AH486" s="273"/>
      <c r="AJ486" s="273"/>
      <c r="AK486" s="273"/>
      <c r="AL486" s="273"/>
    </row>
    <row r="487" spans="1:38" ht="28.5">
      <c r="A487" s="9"/>
      <c r="B487" s="260"/>
      <c r="C487" s="298" t="s">
        <v>387</v>
      </c>
      <c r="D487" s="294"/>
      <c r="E487" s="294"/>
      <c r="F487" s="267" t="s">
        <v>402</v>
      </c>
      <c r="G487" s="295" t="s">
        <v>437</v>
      </c>
      <c r="H487" s="295"/>
      <c r="J487" s="267" t="str">
        <f t="shared" si="37"/>
        <v>TUE:</v>
      </c>
      <c r="K487" s="295"/>
      <c r="L487" s="295"/>
      <c r="M487" s="296"/>
      <c r="N487" s="267" t="s">
        <v>402</v>
      </c>
      <c r="O487" s="295"/>
      <c r="P487" s="295"/>
      <c r="Q487" s="296"/>
      <c r="R487" s="267" t="s">
        <v>403</v>
      </c>
      <c r="S487" s="297"/>
      <c r="T487" s="297"/>
      <c r="U487" s="243"/>
      <c r="X487" s="273"/>
      <c r="Y487" s="273"/>
      <c r="Z487" s="273"/>
      <c r="AB487" s="273"/>
      <c r="AC487" s="273"/>
      <c r="AD487" s="273"/>
      <c r="AF487" s="273"/>
      <c r="AG487" s="273"/>
      <c r="AH487" s="273"/>
      <c r="AJ487" s="273"/>
      <c r="AK487" s="273"/>
      <c r="AL487" s="273"/>
    </row>
    <row r="488" spans="1:38">
      <c r="A488" s="9"/>
      <c r="B488" s="260"/>
      <c r="C488" s="298"/>
      <c r="D488" s="294"/>
      <c r="E488" s="294"/>
      <c r="F488" s="267" t="s">
        <v>407</v>
      </c>
      <c r="G488" s="295" t="s">
        <v>437</v>
      </c>
      <c r="H488" s="295"/>
      <c r="J488" s="267" t="str">
        <f t="shared" si="37"/>
        <v>WED:</v>
      </c>
      <c r="K488" s="295"/>
      <c r="L488" s="295"/>
      <c r="M488" s="296"/>
      <c r="N488" s="267" t="s">
        <v>407</v>
      </c>
      <c r="O488" s="295"/>
      <c r="P488" s="295"/>
      <c r="Q488" s="296"/>
      <c r="R488" s="267" t="s">
        <v>408</v>
      </c>
      <c r="S488" s="297"/>
      <c r="T488" s="297"/>
      <c r="U488" s="243"/>
      <c r="X488" s="273"/>
      <c r="Y488" s="273"/>
      <c r="Z488" s="273"/>
      <c r="AB488" s="273"/>
      <c r="AC488" s="273"/>
      <c r="AD488" s="273"/>
      <c r="AF488" s="273"/>
      <c r="AG488" s="273"/>
      <c r="AH488" s="273"/>
      <c r="AJ488" s="273"/>
      <c r="AK488" s="273"/>
      <c r="AL488" s="273"/>
    </row>
    <row r="489" spans="1:38" ht="24">
      <c r="A489" s="9"/>
      <c r="B489" s="260"/>
      <c r="C489" s="274" t="s">
        <v>410</v>
      </c>
      <c r="D489" s="294"/>
      <c r="E489" s="294"/>
      <c r="F489" s="267" t="s">
        <v>411</v>
      </c>
      <c r="G489" s="295" t="s">
        <v>437</v>
      </c>
      <c r="H489" s="295"/>
      <c r="J489" s="267" t="str">
        <f t="shared" si="37"/>
        <v>THU:</v>
      </c>
      <c r="K489" s="295"/>
      <c r="L489" s="295"/>
      <c r="M489" s="296"/>
      <c r="N489" s="267" t="s">
        <v>411</v>
      </c>
      <c r="O489" s="295"/>
      <c r="P489" s="295"/>
      <c r="Q489" s="296"/>
      <c r="R489" s="267" t="s">
        <v>412</v>
      </c>
      <c r="S489" s="297"/>
      <c r="T489" s="297"/>
      <c r="U489" s="243"/>
      <c r="X489" s="273"/>
      <c r="Y489" s="273"/>
      <c r="Z489" s="273"/>
      <c r="AB489" s="273"/>
      <c r="AC489" s="273"/>
      <c r="AD489" s="273"/>
      <c r="AF489" s="273"/>
      <c r="AG489" s="273"/>
      <c r="AH489" s="273"/>
      <c r="AJ489" s="273"/>
      <c r="AK489" s="273"/>
      <c r="AL489" s="273"/>
    </row>
    <row r="490" spans="1:38">
      <c r="A490" s="9"/>
      <c r="B490" s="260"/>
      <c r="C490" s="274"/>
      <c r="D490" s="294"/>
      <c r="E490" s="294"/>
      <c r="F490" s="267" t="s">
        <v>414</v>
      </c>
      <c r="G490" s="295" t="s">
        <v>437</v>
      </c>
      <c r="H490" s="295"/>
      <c r="J490" s="267" t="str">
        <f t="shared" si="37"/>
        <v>FRI:</v>
      </c>
      <c r="K490" s="295"/>
      <c r="L490" s="295"/>
      <c r="M490" s="296"/>
      <c r="N490" s="267" t="s">
        <v>414</v>
      </c>
      <c r="O490" s="295"/>
      <c r="P490" s="295"/>
      <c r="Q490" s="296"/>
      <c r="R490" s="267" t="s">
        <v>415</v>
      </c>
      <c r="S490" s="297"/>
      <c r="T490" s="297"/>
      <c r="U490" s="243"/>
      <c r="X490" s="273"/>
      <c r="Y490" s="273"/>
      <c r="Z490" s="273"/>
      <c r="AB490" s="273"/>
      <c r="AC490" s="273"/>
      <c r="AD490" s="273"/>
      <c r="AF490" s="273"/>
      <c r="AG490" s="273"/>
      <c r="AH490" s="273"/>
      <c r="AJ490" s="273"/>
      <c r="AK490" s="273"/>
      <c r="AL490" s="273"/>
    </row>
    <row r="491" spans="1:38">
      <c r="A491" s="9"/>
      <c r="B491" s="260"/>
      <c r="C491" s="238" t="str">
        <f>IF(AND(C487="Other",OR(D491=" ",D491="")),"Select Type →",IF(AND(NOT(C487="Other"),AND(NOT(D491=" "),NOT(D491=""))),"Deselect Type→",VLOOKUP(C487,$BL$6:$BM$19,2,0)))</f>
        <v>On/Off</v>
      </c>
      <c r="D491" s="299"/>
      <c r="E491" s="299"/>
      <c r="F491" s="267" t="s">
        <v>418</v>
      </c>
      <c r="G491" s="295" t="s">
        <v>437</v>
      </c>
      <c r="H491" s="295"/>
      <c r="J491" s="267" t="str">
        <f t="shared" si="37"/>
        <v>SAT:</v>
      </c>
      <c r="K491" s="295"/>
      <c r="L491" s="295"/>
      <c r="M491" s="296"/>
      <c r="N491" s="267" t="s">
        <v>418</v>
      </c>
      <c r="O491" s="295"/>
      <c r="P491" s="295"/>
      <c r="Q491" s="296"/>
      <c r="R491" s="267" t="s">
        <v>419</v>
      </c>
      <c r="S491" s="297"/>
      <c r="T491" s="297"/>
      <c r="U491" s="243"/>
      <c r="X491" s="273"/>
      <c r="Y491" s="273"/>
      <c r="Z491" s="273"/>
      <c r="AB491" s="273"/>
      <c r="AC491" s="273"/>
      <c r="AD491" s="273"/>
      <c r="AF491" s="273"/>
      <c r="AG491" s="273"/>
      <c r="AH491" s="273"/>
      <c r="AJ491" s="273"/>
      <c r="AK491" s="273"/>
      <c r="AL491" s="273"/>
    </row>
    <row r="492" spans="1:38">
      <c r="A492" s="9"/>
      <c r="B492" s="260"/>
      <c r="C492" s="238"/>
      <c r="D492" s="299"/>
      <c r="E492" s="299"/>
      <c r="F492" s="267" t="s">
        <v>421</v>
      </c>
      <c r="G492" s="295" t="s">
        <v>437</v>
      </c>
      <c r="H492" s="295"/>
      <c r="J492" s="267" t="str">
        <f t="shared" si="37"/>
        <v>HOL:</v>
      </c>
      <c r="K492" s="295"/>
      <c r="L492" s="295"/>
      <c r="M492" s="296"/>
      <c r="N492" s="267" t="s">
        <v>421</v>
      </c>
      <c r="O492" s="295"/>
      <c r="P492" s="295"/>
      <c r="Q492" s="296"/>
      <c r="R492" s="267" t="s">
        <v>391</v>
      </c>
      <c r="S492" s="297"/>
      <c r="T492" s="297"/>
      <c r="U492" s="243"/>
      <c r="X492" s="273"/>
      <c r="Y492" s="273"/>
      <c r="Z492" s="273"/>
      <c r="AB492" s="273"/>
      <c r="AC492" s="273"/>
      <c r="AD492" s="273"/>
      <c r="AF492" s="273"/>
      <c r="AG492" s="273"/>
      <c r="AH492" s="273"/>
      <c r="AJ492" s="273"/>
      <c r="AK492" s="273"/>
      <c r="AL492" s="273"/>
    </row>
    <row r="493" spans="1:38">
      <c r="A493" s="9"/>
      <c r="B493" s="260"/>
      <c r="C493" s="300"/>
      <c r="D493" s="300"/>
      <c r="E493" s="300"/>
      <c r="F493" s="267" t="s">
        <v>424</v>
      </c>
      <c r="G493" s="295" t="s">
        <v>438</v>
      </c>
      <c r="H493" s="295"/>
      <c r="J493" s="267" t="str">
        <f t="shared" si="37"/>
        <v>HDD:</v>
      </c>
      <c r="K493" s="295"/>
      <c r="L493" s="295"/>
      <c r="M493" s="296"/>
      <c r="N493" s="267" t="s">
        <v>424</v>
      </c>
      <c r="O493" s="295"/>
      <c r="P493" s="295"/>
      <c r="Q493" s="296"/>
      <c r="R493" s="267" t="s">
        <v>426</v>
      </c>
      <c r="S493" s="297"/>
      <c r="T493" s="297"/>
      <c r="U493" s="243"/>
    </row>
    <row r="494" spans="1:38">
      <c r="A494" s="9"/>
      <c r="B494" s="260"/>
      <c r="C494" s="300"/>
      <c r="D494" s="300"/>
      <c r="E494" s="300"/>
      <c r="F494" s="267" t="s">
        <v>429</v>
      </c>
      <c r="G494" s="295" t="s">
        <v>439</v>
      </c>
      <c r="H494" s="295"/>
      <c r="I494" s="296"/>
      <c r="J494" s="267" t="str">
        <f t="shared" si="37"/>
        <v>CDD:</v>
      </c>
      <c r="K494" s="295"/>
      <c r="L494" s="295"/>
      <c r="M494" s="296"/>
      <c r="N494" s="267" t="s">
        <v>429</v>
      </c>
      <c r="O494" s="295"/>
      <c r="P494" s="295"/>
      <c r="Q494" s="296"/>
      <c r="R494" s="267" t="s">
        <v>431</v>
      </c>
      <c r="S494" s="297"/>
      <c r="T494" s="297"/>
      <c r="U494" s="243"/>
    </row>
    <row r="495" spans="1:38">
      <c r="A495" s="9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43"/>
    </row>
    <row r="496" spans="1:38" ht="28.5">
      <c r="A496" s="9">
        <f>A482+1</f>
        <v>36</v>
      </c>
      <c r="B496" s="282" t="s">
        <v>376</v>
      </c>
      <c r="C496" s="287" t="s">
        <v>435</v>
      </c>
      <c r="D496" s="287"/>
      <c r="E496" s="287"/>
      <c r="F496" s="249" t="s">
        <v>378</v>
      </c>
      <c r="G496" s="288" t="s">
        <v>379</v>
      </c>
      <c r="H496" s="289">
        <v>1</v>
      </c>
      <c r="I496" s="289"/>
      <c r="J496" s="249" t="s">
        <v>378</v>
      </c>
      <c r="K496" s="290" t="str">
        <f>IF(AND(G497="December",H497=31)," ",IF(VLOOKUP(G497,D!$G$5:$I$16,3,0)=H497,LOOKUP(VLOOKUP(G497,D!$G$4:$H$16,2,0)+1,D!$H$4:$H$16,D!$G$4:$G$16),G497))</f>
        <v>January</v>
      </c>
      <c r="L496" s="289">
        <f>IF(K496=" "," ",IF(K496=G497,H497+1,1))</f>
        <v>29</v>
      </c>
      <c r="M496" s="289"/>
      <c r="N496" s="249" t="s">
        <v>378</v>
      </c>
      <c r="O496" s="288" t="str">
        <f>IF(OR(K497=" ",AND(K497="December",L497=31))," ",IF(VLOOKUP(K497,D!$G$5:$I$16,3,0)=L497,LOOKUP(VLOOKUP(K497,D!$G$4:$H$16,2,0)+1,D!$H$4:$H$16,D!$G$4:$G$16),K497))</f>
        <v>June</v>
      </c>
      <c r="P496" s="289">
        <f>IF(O496=" "," ",IF(O496=K497,L497+1,1))</f>
        <v>9</v>
      </c>
      <c r="Q496" s="289"/>
      <c r="R496" s="249" t="s">
        <v>378</v>
      </c>
      <c r="S496" s="288" t="str">
        <f>IF(OR(O497=" ",AND(O497="December",P497=31))," ",IF(VLOOKUP(O497,D!$G$5:$I$16,3,0)=P497,LOOKUP(VLOOKUP(O497,D!$G$4:$H$16,2,0)+1,D!$H$4:$H$16,D!$G$4:$G$16),O497))</f>
        <v>September</v>
      </c>
      <c r="T496" s="289">
        <f>IF(S496=" "," ",IF(S496=O497,P497+1,1))</f>
        <v>9</v>
      </c>
      <c r="U496" s="243"/>
    </row>
    <row r="497" spans="1:38" ht="28.5">
      <c r="A497" s="9"/>
      <c r="B497" s="282"/>
      <c r="C497" s="287"/>
      <c r="D497" s="287"/>
      <c r="E497" s="287"/>
      <c r="F497" s="255" t="s">
        <v>380</v>
      </c>
      <c r="G497" s="291" t="s">
        <v>379</v>
      </c>
      <c r="H497" s="292">
        <v>28</v>
      </c>
      <c r="I497" s="292"/>
      <c r="J497" s="255" t="s">
        <v>380</v>
      </c>
      <c r="K497" s="291" t="s">
        <v>383</v>
      </c>
      <c r="L497" s="292">
        <v>8</v>
      </c>
      <c r="M497" s="292"/>
      <c r="N497" s="255" t="s">
        <v>380</v>
      </c>
      <c r="O497" s="291" t="s">
        <v>436</v>
      </c>
      <c r="P497" s="292">
        <v>8</v>
      </c>
      <c r="Q497" s="292"/>
      <c r="R497" s="255" t="s">
        <v>380</v>
      </c>
      <c r="S497" s="291" t="s">
        <v>384</v>
      </c>
      <c r="T497" s="292">
        <v>31</v>
      </c>
      <c r="U497" s="243"/>
      <c r="X497" s="273"/>
      <c r="Y497" s="273"/>
      <c r="Z497" s="273"/>
      <c r="AB497" s="273"/>
      <c r="AC497" s="273"/>
      <c r="AD497" s="273"/>
      <c r="AF497" s="273"/>
      <c r="AG497" s="273"/>
      <c r="AH497" s="273"/>
      <c r="AJ497" s="273"/>
      <c r="AK497" s="273"/>
      <c r="AL497" s="273"/>
    </row>
    <row r="498" spans="1:38">
      <c r="A498" s="9"/>
      <c r="B498" s="260"/>
      <c r="C498" s="293" t="s">
        <v>395</v>
      </c>
      <c r="D498" s="294"/>
      <c r="E498" s="294"/>
      <c r="F498" s="262"/>
      <c r="G498" s="263" t="str">
        <f>IF(OR(H497&gt;VLOOKUP(G497,D!$G$4:$I$16,3,0),AND(G497=G496,H497&lt;=H496),VLOOKUP(G497,D!$G$4:$H$16,2,0)&lt;VLOOKUP(G496,D!$G$4:$H$16,2,0)),"Must correct date!","")</f>
        <v/>
      </c>
      <c r="H498" s="263"/>
      <c r="J498" s="262"/>
      <c r="K498" s="263" t="str">
        <f>IF(AND(K497=" ",K496=" "),"",IF(OR(L497&gt;VLOOKUP(K497,D!$G$4:$I$16,3,0),AND(K497=K496,L497&lt;=L496),VLOOKUP(K497,D!$G$4:$H$16,2,0)&lt;VLOOKUP(K496,D!$G$4:$H$16,2,0)),"Must correct date!",""))</f>
        <v/>
      </c>
      <c r="L498" s="263"/>
      <c r="N498" s="262"/>
      <c r="O498" s="263" t="str">
        <f>IF(AND(O497=" ",O496=" "),"",IF(OR(P497&gt;VLOOKUP(O497,D!$G$4:$I$16,3,0),AND(O497=O496,P497&lt;=P496),VLOOKUP(O497,D!$G$4:$H$16,2,0)&lt;VLOOKUP(O496,D!$G$4:$H$16,2,0)),"Must correct date!",""))</f>
        <v/>
      </c>
      <c r="P498" s="263"/>
      <c r="R498" s="262"/>
      <c r="S498" s="265" t="str">
        <f>IF(AND(S497=" ",S496=" "),"",IF(OR(T497&gt;VLOOKUP(S497,D!$G$4:$I$16,3,0),AND(S497=S496,T497&lt;=T496),VLOOKUP(S497,D!$G$4:$H$16,2,0)&lt;VLOOKUP(S496,D!$G$4:$H$16,2,0)),"Must correct date!",""))</f>
        <v/>
      </c>
      <c r="T498" s="265"/>
      <c r="U498" s="243"/>
      <c r="X498" s="273"/>
      <c r="Y498" s="273"/>
      <c r="Z498" s="273"/>
      <c r="AB498" s="273"/>
      <c r="AC498" s="273"/>
      <c r="AD498" s="273"/>
      <c r="AF498" s="273"/>
      <c r="AG498" s="273"/>
      <c r="AH498" s="273"/>
      <c r="AJ498" s="273"/>
      <c r="AK498" s="273"/>
      <c r="AL498" s="273"/>
    </row>
    <row r="499" spans="1:38">
      <c r="A499" s="9"/>
      <c r="B499" s="260"/>
      <c r="C499" s="293"/>
      <c r="D499" s="294"/>
      <c r="E499" s="294"/>
      <c r="F499" s="267" t="s">
        <v>389</v>
      </c>
      <c r="G499" s="295" t="s">
        <v>437</v>
      </c>
      <c r="H499" s="295"/>
      <c r="I499" s="296"/>
      <c r="J499" s="267" t="str">
        <f t="shared" ref="J499:J508" si="38">$F499</f>
        <v>SUN:</v>
      </c>
      <c r="K499" s="295"/>
      <c r="L499" s="295"/>
      <c r="M499" s="296"/>
      <c r="N499" s="267" t="s">
        <v>389</v>
      </c>
      <c r="O499" s="295"/>
      <c r="P499" s="295"/>
      <c r="Q499" s="296"/>
      <c r="R499" s="267" t="s">
        <v>391</v>
      </c>
      <c r="S499" s="297"/>
      <c r="T499" s="297"/>
      <c r="U499" s="243"/>
      <c r="X499" s="273"/>
      <c r="Y499" s="273"/>
      <c r="Z499" s="273"/>
      <c r="AB499" s="273"/>
      <c r="AC499" s="273"/>
      <c r="AD499" s="273"/>
      <c r="AF499" s="273"/>
      <c r="AG499" s="273"/>
      <c r="AH499" s="273"/>
      <c r="AJ499" s="273"/>
      <c r="AK499" s="273"/>
      <c r="AL499" s="273"/>
    </row>
    <row r="500" spans="1:38">
      <c r="A500" s="9"/>
      <c r="B500" s="260"/>
      <c r="C500" s="293"/>
      <c r="D500" s="294"/>
      <c r="E500" s="294"/>
      <c r="F500" s="267" t="s">
        <v>396</v>
      </c>
      <c r="G500" s="295" t="s">
        <v>437</v>
      </c>
      <c r="H500" s="295"/>
      <c r="J500" s="267" t="str">
        <f t="shared" si="38"/>
        <v>MON:</v>
      </c>
      <c r="K500" s="295"/>
      <c r="L500" s="295"/>
      <c r="M500" s="296"/>
      <c r="N500" s="267" t="s">
        <v>396</v>
      </c>
      <c r="O500" s="295"/>
      <c r="P500" s="295"/>
      <c r="Q500" s="296"/>
      <c r="R500" s="267" t="s">
        <v>397</v>
      </c>
      <c r="S500" s="297"/>
      <c r="T500" s="297"/>
      <c r="U500" s="243"/>
      <c r="X500" s="273"/>
      <c r="Y500" s="273"/>
      <c r="Z500" s="273"/>
      <c r="AB500" s="273"/>
      <c r="AC500" s="273"/>
      <c r="AD500" s="273"/>
      <c r="AF500" s="273"/>
      <c r="AG500" s="273"/>
      <c r="AH500" s="273"/>
      <c r="AJ500" s="273"/>
      <c r="AK500" s="273"/>
      <c r="AL500" s="273"/>
    </row>
    <row r="501" spans="1:38" ht="28.5">
      <c r="A501" s="9"/>
      <c r="B501" s="260"/>
      <c r="C501" s="298" t="s">
        <v>387</v>
      </c>
      <c r="D501" s="294"/>
      <c r="E501" s="294"/>
      <c r="F501" s="267" t="s">
        <v>402</v>
      </c>
      <c r="G501" s="295" t="s">
        <v>437</v>
      </c>
      <c r="H501" s="295"/>
      <c r="J501" s="267" t="str">
        <f t="shared" si="38"/>
        <v>TUE:</v>
      </c>
      <c r="K501" s="295"/>
      <c r="L501" s="295"/>
      <c r="M501" s="296"/>
      <c r="N501" s="267" t="s">
        <v>402</v>
      </c>
      <c r="O501" s="295"/>
      <c r="P501" s="295"/>
      <c r="Q501" s="296"/>
      <c r="R501" s="267" t="s">
        <v>403</v>
      </c>
      <c r="S501" s="297"/>
      <c r="T501" s="297"/>
      <c r="U501" s="243"/>
      <c r="X501" s="273"/>
      <c r="Y501" s="273"/>
      <c r="Z501" s="273"/>
      <c r="AB501" s="273"/>
      <c r="AC501" s="273"/>
      <c r="AD501" s="273"/>
      <c r="AF501" s="273"/>
      <c r="AG501" s="273"/>
      <c r="AH501" s="273"/>
      <c r="AJ501" s="273"/>
      <c r="AK501" s="273"/>
      <c r="AL501" s="273"/>
    </row>
    <row r="502" spans="1:38">
      <c r="A502" s="9"/>
      <c r="B502" s="260"/>
      <c r="C502" s="298"/>
      <c r="D502" s="294"/>
      <c r="E502" s="294"/>
      <c r="F502" s="267" t="s">
        <v>407</v>
      </c>
      <c r="G502" s="295" t="s">
        <v>437</v>
      </c>
      <c r="H502" s="295"/>
      <c r="J502" s="267" t="str">
        <f t="shared" si="38"/>
        <v>WED:</v>
      </c>
      <c r="K502" s="295"/>
      <c r="L502" s="295"/>
      <c r="M502" s="296"/>
      <c r="N502" s="267" t="s">
        <v>407</v>
      </c>
      <c r="O502" s="295"/>
      <c r="P502" s="295"/>
      <c r="Q502" s="296"/>
      <c r="R502" s="267" t="s">
        <v>408</v>
      </c>
      <c r="S502" s="297"/>
      <c r="T502" s="297"/>
      <c r="U502" s="243"/>
      <c r="X502" s="273"/>
      <c r="Y502" s="273"/>
      <c r="Z502" s="273"/>
      <c r="AB502" s="273"/>
      <c r="AC502" s="273"/>
      <c r="AD502" s="273"/>
      <c r="AF502" s="273"/>
      <c r="AG502" s="273"/>
      <c r="AH502" s="273"/>
      <c r="AJ502" s="273"/>
      <c r="AK502" s="273"/>
      <c r="AL502" s="273"/>
    </row>
    <row r="503" spans="1:38" ht="24">
      <c r="A503" s="9"/>
      <c r="B503" s="260"/>
      <c r="C503" s="274" t="s">
        <v>410</v>
      </c>
      <c r="D503" s="294"/>
      <c r="E503" s="294"/>
      <c r="F503" s="267" t="s">
        <v>411</v>
      </c>
      <c r="G503" s="295" t="s">
        <v>437</v>
      </c>
      <c r="H503" s="295"/>
      <c r="J503" s="267" t="str">
        <f t="shared" si="38"/>
        <v>THU:</v>
      </c>
      <c r="K503" s="295"/>
      <c r="L503" s="295"/>
      <c r="M503" s="296"/>
      <c r="N503" s="267" t="s">
        <v>411</v>
      </c>
      <c r="O503" s="295"/>
      <c r="P503" s="295"/>
      <c r="Q503" s="296"/>
      <c r="R503" s="267" t="s">
        <v>412</v>
      </c>
      <c r="S503" s="297"/>
      <c r="T503" s="297"/>
      <c r="U503" s="243"/>
      <c r="X503" s="273"/>
      <c r="Y503" s="273"/>
      <c r="Z503" s="273"/>
      <c r="AB503" s="273"/>
      <c r="AC503" s="273"/>
      <c r="AD503" s="273"/>
      <c r="AF503" s="273"/>
      <c r="AG503" s="273"/>
      <c r="AH503" s="273"/>
      <c r="AJ503" s="273"/>
      <c r="AK503" s="273"/>
      <c r="AL503" s="273"/>
    </row>
    <row r="504" spans="1:38">
      <c r="A504" s="9"/>
      <c r="B504" s="260"/>
      <c r="C504" s="274"/>
      <c r="D504" s="294"/>
      <c r="E504" s="294"/>
      <c r="F504" s="267" t="s">
        <v>414</v>
      </c>
      <c r="G504" s="295" t="s">
        <v>437</v>
      </c>
      <c r="H504" s="295"/>
      <c r="J504" s="267" t="str">
        <f t="shared" si="38"/>
        <v>FRI:</v>
      </c>
      <c r="K504" s="295"/>
      <c r="L504" s="295"/>
      <c r="M504" s="296"/>
      <c r="N504" s="267" t="s">
        <v>414</v>
      </c>
      <c r="O504" s="295"/>
      <c r="P504" s="295"/>
      <c r="Q504" s="296"/>
      <c r="R504" s="267" t="s">
        <v>415</v>
      </c>
      <c r="S504" s="297"/>
      <c r="T504" s="297"/>
      <c r="U504" s="243"/>
      <c r="X504" s="273"/>
      <c r="Y504" s="273"/>
      <c r="Z504" s="273"/>
      <c r="AB504" s="273"/>
      <c r="AC504" s="273"/>
      <c r="AD504" s="273"/>
      <c r="AF504" s="273"/>
      <c r="AG504" s="273"/>
      <c r="AH504" s="273"/>
      <c r="AJ504" s="273"/>
      <c r="AK504" s="273"/>
      <c r="AL504" s="273"/>
    </row>
    <row r="505" spans="1:38">
      <c r="A505" s="9"/>
      <c r="B505" s="260"/>
      <c r="C505" s="238" t="str">
        <f>IF(AND(C501="Other",OR(D505=" ",D505="")),"Select Type →",IF(AND(NOT(C501="Other"),AND(NOT(D505=" "),NOT(D505=""))),"Deselect Type→",VLOOKUP(C501,$BL$6:$BM$19,2,0)))</f>
        <v>On/Off</v>
      </c>
      <c r="D505" s="299"/>
      <c r="E505" s="299"/>
      <c r="F505" s="267" t="s">
        <v>418</v>
      </c>
      <c r="G505" s="295" t="s">
        <v>437</v>
      </c>
      <c r="H505" s="295"/>
      <c r="J505" s="267" t="str">
        <f t="shared" si="38"/>
        <v>SAT:</v>
      </c>
      <c r="K505" s="295"/>
      <c r="L505" s="295"/>
      <c r="M505" s="296"/>
      <c r="N505" s="267" t="s">
        <v>418</v>
      </c>
      <c r="O505" s="295"/>
      <c r="P505" s="295"/>
      <c r="Q505" s="296"/>
      <c r="R505" s="267" t="s">
        <v>419</v>
      </c>
      <c r="S505" s="297"/>
      <c r="T505" s="297"/>
      <c r="U505" s="243"/>
      <c r="X505" s="273"/>
      <c r="Y505" s="273"/>
      <c r="Z505" s="273"/>
      <c r="AB505" s="273"/>
      <c r="AC505" s="273"/>
      <c r="AD505" s="273"/>
      <c r="AF505" s="273"/>
      <c r="AG505" s="273"/>
      <c r="AH505" s="273"/>
      <c r="AJ505" s="273"/>
      <c r="AK505" s="273"/>
      <c r="AL505" s="273"/>
    </row>
    <row r="506" spans="1:38">
      <c r="A506" s="9"/>
      <c r="B506" s="260"/>
      <c r="C506" s="238"/>
      <c r="D506" s="299"/>
      <c r="E506" s="299"/>
      <c r="F506" s="267" t="s">
        <v>421</v>
      </c>
      <c r="G506" s="295" t="s">
        <v>437</v>
      </c>
      <c r="H506" s="295"/>
      <c r="J506" s="267" t="str">
        <f t="shared" si="38"/>
        <v>HOL:</v>
      </c>
      <c r="K506" s="295"/>
      <c r="L506" s="295"/>
      <c r="M506" s="296"/>
      <c r="N506" s="267" t="s">
        <v>421</v>
      </c>
      <c r="O506" s="295"/>
      <c r="P506" s="295"/>
      <c r="Q506" s="296"/>
      <c r="R506" s="267" t="s">
        <v>391</v>
      </c>
      <c r="S506" s="297"/>
      <c r="T506" s="297"/>
      <c r="U506" s="243"/>
      <c r="X506" s="273"/>
      <c r="Y506" s="273"/>
      <c r="Z506" s="273"/>
      <c r="AB506" s="273"/>
      <c r="AC506" s="273"/>
      <c r="AD506" s="273"/>
      <c r="AF506" s="273"/>
      <c r="AG506" s="273"/>
      <c r="AH506" s="273"/>
      <c r="AJ506" s="273"/>
      <c r="AK506" s="273"/>
      <c r="AL506" s="273"/>
    </row>
    <row r="507" spans="1:38">
      <c r="A507" s="9"/>
      <c r="B507" s="260"/>
      <c r="C507" s="300"/>
      <c r="D507" s="300"/>
      <c r="E507" s="300"/>
      <c r="F507" s="267" t="s">
        <v>424</v>
      </c>
      <c r="G507" s="295" t="s">
        <v>438</v>
      </c>
      <c r="H507" s="295"/>
      <c r="J507" s="267" t="str">
        <f t="shared" si="38"/>
        <v>HDD:</v>
      </c>
      <c r="K507" s="295"/>
      <c r="L507" s="295"/>
      <c r="M507" s="296"/>
      <c r="N507" s="267" t="s">
        <v>424</v>
      </c>
      <c r="O507" s="295"/>
      <c r="P507" s="295"/>
      <c r="Q507" s="296"/>
      <c r="R507" s="267" t="s">
        <v>426</v>
      </c>
      <c r="S507" s="297"/>
      <c r="T507" s="297"/>
      <c r="U507" s="243"/>
    </row>
    <row r="508" spans="1:38">
      <c r="A508" s="9"/>
      <c r="B508" s="260"/>
      <c r="C508" s="300"/>
      <c r="D508" s="300"/>
      <c r="E508" s="300"/>
      <c r="F508" s="267" t="s">
        <v>429</v>
      </c>
      <c r="G508" s="295" t="s">
        <v>439</v>
      </c>
      <c r="H508" s="295"/>
      <c r="I508" s="296"/>
      <c r="J508" s="267" t="str">
        <f t="shared" si="38"/>
        <v>CDD:</v>
      </c>
      <c r="K508" s="295"/>
      <c r="L508" s="295"/>
      <c r="M508" s="296"/>
      <c r="N508" s="267" t="s">
        <v>429</v>
      </c>
      <c r="O508" s="295"/>
      <c r="P508" s="295"/>
      <c r="Q508" s="296"/>
      <c r="R508" s="267" t="s">
        <v>431</v>
      </c>
      <c r="S508" s="297"/>
      <c r="T508" s="297"/>
      <c r="U508" s="243"/>
    </row>
    <row r="509" spans="1:38">
      <c r="A509" s="9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43"/>
    </row>
    <row r="510" spans="1:38" ht="28.5">
      <c r="A510" s="9">
        <f>A496+1</f>
        <v>37</v>
      </c>
      <c r="B510" s="282" t="s">
        <v>376</v>
      </c>
      <c r="C510" s="287" t="s">
        <v>435</v>
      </c>
      <c r="D510" s="287"/>
      <c r="E510" s="287"/>
      <c r="F510" s="249" t="s">
        <v>378</v>
      </c>
      <c r="G510" s="288" t="s">
        <v>379</v>
      </c>
      <c r="H510" s="289">
        <v>1</v>
      </c>
      <c r="I510" s="289"/>
      <c r="J510" s="249" t="s">
        <v>378</v>
      </c>
      <c r="K510" s="290" t="str">
        <f>IF(AND(G511="December",H511=31)," ",IF(VLOOKUP(G511,D!$G$5:$I$16,3,0)=H511,LOOKUP(VLOOKUP(G511,D!$G$4:$H$16,2,0)+1,D!$H$4:$H$16,D!$G$4:$G$16),G511))</f>
        <v>January</v>
      </c>
      <c r="L510" s="289">
        <f>IF(K510=" "," ",IF(K510=G511,H511+1,1))</f>
        <v>29</v>
      </c>
      <c r="M510" s="289"/>
      <c r="N510" s="249" t="s">
        <v>378</v>
      </c>
      <c r="O510" s="288" t="str">
        <f>IF(OR(K511=" ",AND(K511="December",L511=31))," ",IF(VLOOKUP(K511,D!$G$5:$I$16,3,0)=L511,LOOKUP(VLOOKUP(K511,D!$G$4:$H$16,2,0)+1,D!$H$4:$H$16,D!$G$4:$G$16),K511))</f>
        <v>June</v>
      </c>
      <c r="P510" s="289">
        <f>IF(O510=" "," ",IF(O510=K511,L511+1,1))</f>
        <v>9</v>
      </c>
      <c r="Q510" s="289"/>
      <c r="R510" s="249" t="s">
        <v>378</v>
      </c>
      <c r="S510" s="288" t="str">
        <f>IF(OR(O511=" ",AND(O511="December",P511=31))," ",IF(VLOOKUP(O511,D!$G$5:$I$16,3,0)=P511,LOOKUP(VLOOKUP(O511,D!$G$4:$H$16,2,0)+1,D!$H$4:$H$16,D!$G$4:$G$16),O511))</f>
        <v>September</v>
      </c>
      <c r="T510" s="289">
        <f>IF(S510=" "," ",IF(S510=O511,P511+1,1))</f>
        <v>9</v>
      </c>
      <c r="U510" s="243"/>
    </row>
    <row r="511" spans="1:38" ht="28.5">
      <c r="A511" s="9"/>
      <c r="B511" s="282"/>
      <c r="C511" s="287"/>
      <c r="D511" s="287"/>
      <c r="E511" s="287"/>
      <c r="F511" s="255" t="s">
        <v>380</v>
      </c>
      <c r="G511" s="291" t="s">
        <v>379</v>
      </c>
      <c r="H511" s="292">
        <v>28</v>
      </c>
      <c r="I511" s="292"/>
      <c r="J511" s="255" t="s">
        <v>380</v>
      </c>
      <c r="K511" s="291" t="s">
        <v>383</v>
      </c>
      <c r="L511" s="292">
        <v>8</v>
      </c>
      <c r="M511" s="292"/>
      <c r="N511" s="255" t="s">
        <v>380</v>
      </c>
      <c r="O511" s="291" t="s">
        <v>436</v>
      </c>
      <c r="P511" s="292">
        <v>8</v>
      </c>
      <c r="Q511" s="292"/>
      <c r="R511" s="255" t="s">
        <v>380</v>
      </c>
      <c r="S511" s="291" t="s">
        <v>384</v>
      </c>
      <c r="T511" s="292">
        <v>31</v>
      </c>
      <c r="U511" s="243"/>
      <c r="X511" s="273"/>
      <c r="Y511" s="273"/>
      <c r="Z511" s="273"/>
      <c r="AB511" s="273"/>
      <c r="AC511" s="273"/>
      <c r="AD511" s="273"/>
      <c r="AF511" s="273"/>
      <c r="AG511" s="273"/>
      <c r="AH511" s="273"/>
      <c r="AJ511" s="273"/>
      <c r="AK511" s="273"/>
      <c r="AL511" s="273"/>
    </row>
    <row r="512" spans="1:38">
      <c r="A512" s="9"/>
      <c r="B512" s="260"/>
      <c r="C512" s="293" t="s">
        <v>395</v>
      </c>
      <c r="D512" s="294"/>
      <c r="E512" s="294"/>
      <c r="F512" s="262"/>
      <c r="G512" s="263" t="str">
        <f>IF(OR(H511&gt;VLOOKUP(G511,D!$G$4:$I$16,3,0),AND(G511=G510,H511&lt;=H510),VLOOKUP(G511,D!$G$4:$H$16,2,0)&lt;VLOOKUP(G510,D!$G$4:$H$16,2,0)),"Must correct date!","")</f>
        <v/>
      </c>
      <c r="H512" s="263"/>
      <c r="J512" s="262"/>
      <c r="K512" s="263" t="str">
        <f>IF(AND(K511=" ",K510=" "),"",IF(OR(L511&gt;VLOOKUP(K511,D!$G$4:$I$16,3,0),AND(K511=K510,L511&lt;=L510),VLOOKUP(K511,D!$G$4:$H$16,2,0)&lt;VLOOKUP(K510,D!$G$4:$H$16,2,0)),"Must correct date!",""))</f>
        <v/>
      </c>
      <c r="L512" s="263"/>
      <c r="N512" s="262"/>
      <c r="O512" s="263" t="str">
        <f>IF(AND(O511=" ",O510=" "),"",IF(OR(P511&gt;VLOOKUP(O511,D!$G$4:$I$16,3,0),AND(O511=O510,P511&lt;=P510),VLOOKUP(O511,D!$G$4:$H$16,2,0)&lt;VLOOKUP(O510,D!$G$4:$H$16,2,0)),"Must correct date!",""))</f>
        <v/>
      </c>
      <c r="P512" s="263"/>
      <c r="R512" s="262"/>
      <c r="S512" s="265" t="str">
        <f>IF(AND(S511=" ",S510=" "),"",IF(OR(T511&gt;VLOOKUP(S511,D!$G$4:$I$16,3,0),AND(S511=S510,T511&lt;=T510),VLOOKUP(S511,D!$G$4:$H$16,2,0)&lt;VLOOKUP(S510,D!$G$4:$H$16,2,0)),"Must correct date!",""))</f>
        <v/>
      </c>
      <c r="T512" s="265"/>
      <c r="U512" s="243"/>
      <c r="X512" s="273"/>
      <c r="Y512" s="273"/>
      <c r="Z512" s="273"/>
      <c r="AB512" s="273"/>
      <c r="AC512" s="273"/>
      <c r="AD512" s="273"/>
      <c r="AF512" s="273"/>
      <c r="AG512" s="273"/>
      <c r="AH512" s="273"/>
      <c r="AJ512" s="273"/>
      <c r="AK512" s="273"/>
      <c r="AL512" s="273"/>
    </row>
    <row r="513" spans="1:38">
      <c r="A513" s="9"/>
      <c r="B513" s="260"/>
      <c r="C513" s="293"/>
      <c r="D513" s="294"/>
      <c r="E513" s="294"/>
      <c r="F513" s="267" t="s">
        <v>389</v>
      </c>
      <c r="G513" s="295" t="s">
        <v>437</v>
      </c>
      <c r="H513" s="295"/>
      <c r="I513" s="296"/>
      <c r="J513" s="267" t="str">
        <f t="shared" ref="J513:J522" si="39">$F513</f>
        <v>SUN:</v>
      </c>
      <c r="K513" s="295"/>
      <c r="L513" s="295"/>
      <c r="M513" s="296"/>
      <c r="N513" s="267" t="s">
        <v>389</v>
      </c>
      <c r="O513" s="295"/>
      <c r="P513" s="295"/>
      <c r="Q513" s="296"/>
      <c r="R513" s="267" t="s">
        <v>391</v>
      </c>
      <c r="S513" s="297"/>
      <c r="T513" s="297"/>
      <c r="U513" s="243"/>
      <c r="X513" s="273"/>
      <c r="Y513" s="273"/>
      <c r="Z513" s="273"/>
      <c r="AB513" s="273"/>
      <c r="AC513" s="273"/>
      <c r="AD513" s="273"/>
      <c r="AF513" s="273"/>
      <c r="AG513" s="273"/>
      <c r="AH513" s="273"/>
      <c r="AJ513" s="273"/>
      <c r="AK513" s="273"/>
      <c r="AL513" s="273"/>
    </row>
    <row r="514" spans="1:38">
      <c r="A514" s="9"/>
      <c r="B514" s="260"/>
      <c r="C514" s="293"/>
      <c r="D514" s="294"/>
      <c r="E514" s="294"/>
      <c r="F514" s="267" t="s">
        <v>396</v>
      </c>
      <c r="G514" s="295" t="s">
        <v>437</v>
      </c>
      <c r="H514" s="295"/>
      <c r="J514" s="267" t="str">
        <f t="shared" si="39"/>
        <v>MON:</v>
      </c>
      <c r="K514" s="295"/>
      <c r="L514" s="295"/>
      <c r="M514" s="296"/>
      <c r="N514" s="267" t="s">
        <v>396</v>
      </c>
      <c r="O514" s="295"/>
      <c r="P514" s="295"/>
      <c r="Q514" s="296"/>
      <c r="R514" s="267" t="s">
        <v>397</v>
      </c>
      <c r="S514" s="297"/>
      <c r="T514" s="297"/>
      <c r="U514" s="243"/>
      <c r="X514" s="273"/>
      <c r="Y514" s="273"/>
      <c r="Z514" s="273"/>
      <c r="AB514" s="273"/>
      <c r="AC514" s="273"/>
      <c r="AD514" s="273"/>
      <c r="AF514" s="273"/>
      <c r="AG514" s="273"/>
      <c r="AH514" s="273"/>
      <c r="AJ514" s="273"/>
      <c r="AK514" s="273"/>
      <c r="AL514" s="273"/>
    </row>
    <row r="515" spans="1:38" ht="28.5">
      <c r="A515" s="9"/>
      <c r="B515" s="260"/>
      <c r="C515" s="298" t="s">
        <v>387</v>
      </c>
      <c r="D515" s="294"/>
      <c r="E515" s="294"/>
      <c r="F515" s="267" t="s">
        <v>402</v>
      </c>
      <c r="G515" s="295" t="s">
        <v>437</v>
      </c>
      <c r="H515" s="295"/>
      <c r="J515" s="267" t="str">
        <f t="shared" si="39"/>
        <v>TUE:</v>
      </c>
      <c r="K515" s="295"/>
      <c r="L515" s="295"/>
      <c r="M515" s="296"/>
      <c r="N515" s="267" t="s">
        <v>402</v>
      </c>
      <c r="O515" s="295"/>
      <c r="P515" s="295"/>
      <c r="Q515" s="296"/>
      <c r="R515" s="267" t="s">
        <v>403</v>
      </c>
      <c r="S515" s="297"/>
      <c r="T515" s="297"/>
      <c r="U515" s="243"/>
      <c r="X515" s="273"/>
      <c r="Y515" s="273"/>
      <c r="Z515" s="273"/>
      <c r="AB515" s="273"/>
      <c r="AC515" s="273"/>
      <c r="AD515" s="273"/>
      <c r="AF515" s="273"/>
      <c r="AG515" s="273"/>
      <c r="AH515" s="273"/>
      <c r="AJ515" s="273"/>
      <c r="AK515" s="273"/>
      <c r="AL515" s="273"/>
    </row>
    <row r="516" spans="1:38">
      <c r="A516" s="9"/>
      <c r="B516" s="260"/>
      <c r="C516" s="298"/>
      <c r="D516" s="294"/>
      <c r="E516" s="294"/>
      <c r="F516" s="267" t="s">
        <v>407</v>
      </c>
      <c r="G516" s="295" t="s">
        <v>437</v>
      </c>
      <c r="H516" s="295"/>
      <c r="J516" s="267" t="str">
        <f t="shared" si="39"/>
        <v>WED:</v>
      </c>
      <c r="K516" s="295"/>
      <c r="L516" s="295"/>
      <c r="M516" s="296"/>
      <c r="N516" s="267" t="s">
        <v>407</v>
      </c>
      <c r="O516" s="295"/>
      <c r="P516" s="295"/>
      <c r="Q516" s="296"/>
      <c r="R516" s="267" t="s">
        <v>408</v>
      </c>
      <c r="S516" s="297"/>
      <c r="T516" s="297"/>
      <c r="U516" s="243"/>
      <c r="X516" s="273"/>
      <c r="Y516" s="273"/>
      <c r="Z516" s="273"/>
      <c r="AB516" s="273"/>
      <c r="AC516" s="273"/>
      <c r="AD516" s="273"/>
      <c r="AF516" s="273"/>
      <c r="AG516" s="273"/>
      <c r="AH516" s="273"/>
      <c r="AJ516" s="273"/>
      <c r="AK516" s="273"/>
      <c r="AL516" s="273"/>
    </row>
    <row r="517" spans="1:38" ht="24">
      <c r="A517" s="9"/>
      <c r="B517" s="260"/>
      <c r="C517" s="274" t="s">
        <v>410</v>
      </c>
      <c r="D517" s="294"/>
      <c r="E517" s="294"/>
      <c r="F517" s="267" t="s">
        <v>411</v>
      </c>
      <c r="G517" s="295" t="s">
        <v>437</v>
      </c>
      <c r="H517" s="295"/>
      <c r="J517" s="267" t="str">
        <f t="shared" si="39"/>
        <v>THU:</v>
      </c>
      <c r="K517" s="295"/>
      <c r="L517" s="295"/>
      <c r="M517" s="296"/>
      <c r="N517" s="267" t="s">
        <v>411</v>
      </c>
      <c r="O517" s="295"/>
      <c r="P517" s="295"/>
      <c r="Q517" s="296"/>
      <c r="R517" s="267" t="s">
        <v>412</v>
      </c>
      <c r="S517" s="297"/>
      <c r="T517" s="297"/>
      <c r="U517" s="243"/>
      <c r="X517" s="273"/>
      <c r="Y517" s="273"/>
      <c r="Z517" s="273"/>
      <c r="AB517" s="273"/>
      <c r="AC517" s="273"/>
      <c r="AD517" s="273"/>
      <c r="AF517" s="273"/>
      <c r="AG517" s="273"/>
      <c r="AH517" s="273"/>
      <c r="AJ517" s="273"/>
      <c r="AK517" s="273"/>
      <c r="AL517" s="273"/>
    </row>
    <row r="518" spans="1:38">
      <c r="A518" s="9"/>
      <c r="B518" s="260"/>
      <c r="C518" s="274"/>
      <c r="D518" s="294"/>
      <c r="E518" s="294"/>
      <c r="F518" s="267" t="s">
        <v>414</v>
      </c>
      <c r="G518" s="295" t="s">
        <v>437</v>
      </c>
      <c r="H518" s="295"/>
      <c r="J518" s="267" t="str">
        <f t="shared" si="39"/>
        <v>FRI:</v>
      </c>
      <c r="K518" s="295"/>
      <c r="L518" s="295"/>
      <c r="M518" s="296"/>
      <c r="N518" s="267" t="s">
        <v>414</v>
      </c>
      <c r="O518" s="295"/>
      <c r="P518" s="295"/>
      <c r="Q518" s="296"/>
      <c r="R518" s="267" t="s">
        <v>415</v>
      </c>
      <c r="S518" s="297"/>
      <c r="T518" s="297"/>
      <c r="U518" s="243"/>
      <c r="X518" s="273"/>
      <c r="Y518" s="273"/>
      <c r="Z518" s="273"/>
      <c r="AB518" s="273"/>
      <c r="AC518" s="273"/>
      <c r="AD518" s="273"/>
      <c r="AF518" s="273"/>
      <c r="AG518" s="273"/>
      <c r="AH518" s="273"/>
      <c r="AJ518" s="273"/>
      <c r="AK518" s="273"/>
      <c r="AL518" s="273"/>
    </row>
    <row r="519" spans="1:38">
      <c r="A519" s="9"/>
      <c r="B519" s="260"/>
      <c r="C519" s="238" t="str">
        <f>IF(AND(C515="Other",OR(D519=" ",D519="")),"Select Type →",IF(AND(NOT(C515="Other"),AND(NOT(D519=" "),NOT(D519=""))),"Deselect Type→",VLOOKUP(C515,$BL$6:$BM$19,2,0)))</f>
        <v>On/Off</v>
      </c>
      <c r="D519" s="299"/>
      <c r="E519" s="299"/>
      <c r="F519" s="267" t="s">
        <v>418</v>
      </c>
      <c r="G519" s="295" t="s">
        <v>437</v>
      </c>
      <c r="H519" s="295"/>
      <c r="J519" s="267" t="str">
        <f t="shared" si="39"/>
        <v>SAT:</v>
      </c>
      <c r="K519" s="295"/>
      <c r="L519" s="295"/>
      <c r="M519" s="296"/>
      <c r="N519" s="267" t="s">
        <v>418</v>
      </c>
      <c r="O519" s="295"/>
      <c r="P519" s="295"/>
      <c r="Q519" s="296"/>
      <c r="R519" s="267" t="s">
        <v>419</v>
      </c>
      <c r="S519" s="297"/>
      <c r="T519" s="297"/>
      <c r="U519" s="243"/>
      <c r="X519" s="273"/>
      <c r="Y519" s="273"/>
      <c r="Z519" s="273"/>
      <c r="AB519" s="273"/>
      <c r="AC519" s="273"/>
      <c r="AD519" s="273"/>
      <c r="AF519" s="273"/>
      <c r="AG519" s="273"/>
      <c r="AH519" s="273"/>
      <c r="AJ519" s="273"/>
      <c r="AK519" s="273"/>
      <c r="AL519" s="273"/>
    </row>
    <row r="520" spans="1:38">
      <c r="A520" s="9"/>
      <c r="B520" s="260"/>
      <c r="C520" s="238"/>
      <c r="D520" s="299"/>
      <c r="E520" s="299"/>
      <c r="F520" s="267" t="s">
        <v>421</v>
      </c>
      <c r="G520" s="295" t="s">
        <v>437</v>
      </c>
      <c r="H520" s="295"/>
      <c r="J520" s="267" t="str">
        <f t="shared" si="39"/>
        <v>HOL:</v>
      </c>
      <c r="K520" s="295"/>
      <c r="L520" s="295"/>
      <c r="M520" s="296"/>
      <c r="N520" s="267" t="s">
        <v>421</v>
      </c>
      <c r="O520" s="295"/>
      <c r="P520" s="295"/>
      <c r="Q520" s="296"/>
      <c r="R520" s="267" t="s">
        <v>391</v>
      </c>
      <c r="S520" s="297"/>
      <c r="T520" s="297"/>
      <c r="U520" s="243"/>
      <c r="X520" s="273"/>
      <c r="Y520" s="273"/>
      <c r="Z520" s="273"/>
      <c r="AB520" s="273"/>
      <c r="AC520" s="273"/>
      <c r="AD520" s="273"/>
      <c r="AF520" s="273"/>
      <c r="AG520" s="273"/>
      <c r="AH520" s="273"/>
      <c r="AJ520" s="273"/>
      <c r="AK520" s="273"/>
      <c r="AL520" s="273"/>
    </row>
    <row r="521" spans="1:38">
      <c r="A521" s="9"/>
      <c r="B521" s="260"/>
      <c r="C521" s="300"/>
      <c r="D521" s="300"/>
      <c r="E521" s="300"/>
      <c r="F521" s="267" t="s">
        <v>424</v>
      </c>
      <c r="G521" s="295" t="s">
        <v>438</v>
      </c>
      <c r="H521" s="295"/>
      <c r="J521" s="267" t="str">
        <f t="shared" si="39"/>
        <v>HDD:</v>
      </c>
      <c r="K521" s="295"/>
      <c r="L521" s="295"/>
      <c r="M521" s="296"/>
      <c r="N521" s="267" t="s">
        <v>424</v>
      </c>
      <c r="O521" s="295"/>
      <c r="P521" s="295"/>
      <c r="Q521" s="296"/>
      <c r="R521" s="267" t="s">
        <v>426</v>
      </c>
      <c r="S521" s="297"/>
      <c r="T521" s="297"/>
      <c r="U521" s="243"/>
    </row>
    <row r="522" spans="1:38">
      <c r="A522" s="9"/>
      <c r="B522" s="260"/>
      <c r="C522" s="300"/>
      <c r="D522" s="300"/>
      <c r="E522" s="300"/>
      <c r="F522" s="267" t="s">
        <v>429</v>
      </c>
      <c r="G522" s="295" t="s">
        <v>439</v>
      </c>
      <c r="H522" s="295"/>
      <c r="I522" s="296"/>
      <c r="J522" s="267" t="str">
        <f t="shared" si="39"/>
        <v>CDD:</v>
      </c>
      <c r="K522" s="295"/>
      <c r="L522" s="295"/>
      <c r="M522" s="296"/>
      <c r="N522" s="267" t="s">
        <v>429</v>
      </c>
      <c r="O522" s="295"/>
      <c r="P522" s="295"/>
      <c r="Q522" s="296"/>
      <c r="R522" s="267" t="s">
        <v>431</v>
      </c>
      <c r="S522" s="297"/>
      <c r="T522" s="297"/>
      <c r="U522" s="243"/>
    </row>
    <row r="523" spans="1:38">
      <c r="A523" s="9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43"/>
    </row>
    <row r="524" spans="1:38" ht="28.5">
      <c r="A524" s="9">
        <f>A510+1</f>
        <v>38</v>
      </c>
      <c r="B524" s="282" t="s">
        <v>376</v>
      </c>
      <c r="C524" s="287" t="s">
        <v>435</v>
      </c>
      <c r="D524" s="287"/>
      <c r="E524" s="287"/>
      <c r="F524" s="249" t="s">
        <v>378</v>
      </c>
      <c r="G524" s="288" t="s">
        <v>379</v>
      </c>
      <c r="H524" s="289">
        <v>1</v>
      </c>
      <c r="I524" s="289"/>
      <c r="J524" s="249" t="s">
        <v>378</v>
      </c>
      <c r="K524" s="290" t="str">
        <f>IF(AND(G525="December",H525=31)," ",IF(VLOOKUP(G525,D!$G$5:$I$16,3,0)=H525,LOOKUP(VLOOKUP(G525,D!$G$4:$H$16,2,0)+1,D!$H$4:$H$16,D!$G$4:$G$16),G525))</f>
        <v>January</v>
      </c>
      <c r="L524" s="289">
        <f>IF(K524=" "," ",IF(K524=G525,H525+1,1))</f>
        <v>29</v>
      </c>
      <c r="M524" s="289"/>
      <c r="N524" s="249" t="s">
        <v>378</v>
      </c>
      <c r="O524" s="288" t="str">
        <f>IF(OR(K525=" ",AND(K525="December",L525=31))," ",IF(VLOOKUP(K525,D!$G$5:$I$16,3,0)=L525,LOOKUP(VLOOKUP(K525,D!$G$4:$H$16,2,0)+1,D!$H$4:$H$16,D!$G$4:$G$16),K525))</f>
        <v>June</v>
      </c>
      <c r="P524" s="289">
        <f>IF(O524=" "," ",IF(O524=K525,L525+1,1))</f>
        <v>9</v>
      </c>
      <c r="Q524" s="289"/>
      <c r="R524" s="249" t="s">
        <v>378</v>
      </c>
      <c r="S524" s="288" t="str">
        <f>IF(OR(O525=" ",AND(O525="December",P525=31))," ",IF(VLOOKUP(O525,D!$G$5:$I$16,3,0)=P525,LOOKUP(VLOOKUP(O525,D!$G$4:$H$16,2,0)+1,D!$H$4:$H$16,D!$G$4:$G$16),O525))</f>
        <v>September</v>
      </c>
      <c r="T524" s="289">
        <f>IF(S524=" "," ",IF(S524=O525,P525+1,1))</f>
        <v>9</v>
      </c>
      <c r="U524" s="243"/>
    </row>
    <row r="525" spans="1:38" ht="28.5">
      <c r="A525" s="9"/>
      <c r="B525" s="282"/>
      <c r="C525" s="287"/>
      <c r="D525" s="287"/>
      <c r="E525" s="287"/>
      <c r="F525" s="255" t="s">
        <v>380</v>
      </c>
      <c r="G525" s="291" t="s">
        <v>379</v>
      </c>
      <c r="H525" s="292">
        <v>28</v>
      </c>
      <c r="I525" s="292"/>
      <c r="J525" s="255" t="s">
        <v>380</v>
      </c>
      <c r="K525" s="291" t="s">
        <v>383</v>
      </c>
      <c r="L525" s="292">
        <v>8</v>
      </c>
      <c r="M525" s="292"/>
      <c r="N525" s="255" t="s">
        <v>380</v>
      </c>
      <c r="O525" s="291" t="s">
        <v>436</v>
      </c>
      <c r="P525" s="292">
        <v>8</v>
      </c>
      <c r="Q525" s="292"/>
      <c r="R525" s="255" t="s">
        <v>380</v>
      </c>
      <c r="S525" s="291" t="s">
        <v>384</v>
      </c>
      <c r="T525" s="292">
        <v>31</v>
      </c>
      <c r="U525" s="243"/>
      <c r="X525" s="273"/>
      <c r="Y525" s="273"/>
      <c r="Z525" s="273"/>
      <c r="AB525" s="273"/>
      <c r="AC525" s="273"/>
      <c r="AD525" s="273"/>
      <c r="AF525" s="273"/>
      <c r="AG525" s="273"/>
      <c r="AH525" s="273"/>
      <c r="AJ525" s="273"/>
      <c r="AK525" s="273"/>
      <c r="AL525" s="273"/>
    </row>
    <row r="526" spans="1:38">
      <c r="A526" s="9"/>
      <c r="B526" s="260"/>
      <c r="C526" s="293" t="s">
        <v>395</v>
      </c>
      <c r="D526" s="294"/>
      <c r="E526" s="294"/>
      <c r="F526" s="262"/>
      <c r="G526" s="263" t="str">
        <f>IF(OR(H525&gt;VLOOKUP(G525,D!$G$4:$I$16,3,0),AND(G525=G524,H525&lt;=H524),VLOOKUP(G525,D!$G$4:$H$16,2,0)&lt;VLOOKUP(G524,D!$G$4:$H$16,2,0)),"Must correct date!","")</f>
        <v/>
      </c>
      <c r="H526" s="263"/>
      <c r="J526" s="262"/>
      <c r="K526" s="263" t="str">
        <f>IF(AND(K525=" ",K524=" "),"",IF(OR(L525&gt;VLOOKUP(K525,D!$G$4:$I$16,3,0),AND(K525=K524,L525&lt;=L524),VLOOKUP(K525,D!$G$4:$H$16,2,0)&lt;VLOOKUP(K524,D!$G$4:$H$16,2,0)),"Must correct date!",""))</f>
        <v/>
      </c>
      <c r="L526" s="263"/>
      <c r="N526" s="262"/>
      <c r="O526" s="263" t="str">
        <f>IF(AND(O525=" ",O524=" "),"",IF(OR(P525&gt;VLOOKUP(O525,D!$G$4:$I$16,3,0),AND(O525=O524,P525&lt;=P524),VLOOKUP(O525,D!$G$4:$H$16,2,0)&lt;VLOOKUP(O524,D!$G$4:$H$16,2,0)),"Must correct date!",""))</f>
        <v/>
      </c>
      <c r="P526" s="263"/>
      <c r="R526" s="262"/>
      <c r="S526" s="265" t="str">
        <f>IF(AND(S525=" ",S524=" "),"",IF(OR(T525&gt;VLOOKUP(S525,D!$G$4:$I$16,3,0),AND(S525=S524,T525&lt;=T524),VLOOKUP(S525,D!$G$4:$H$16,2,0)&lt;VLOOKUP(S524,D!$G$4:$H$16,2,0)),"Must correct date!",""))</f>
        <v/>
      </c>
      <c r="T526" s="265"/>
      <c r="U526" s="243"/>
      <c r="X526" s="273"/>
      <c r="Y526" s="273"/>
      <c r="Z526" s="273"/>
      <c r="AB526" s="273"/>
      <c r="AC526" s="273"/>
      <c r="AD526" s="273"/>
      <c r="AF526" s="273"/>
      <c r="AG526" s="273"/>
      <c r="AH526" s="273"/>
      <c r="AJ526" s="273"/>
      <c r="AK526" s="273"/>
      <c r="AL526" s="273"/>
    </row>
    <row r="527" spans="1:38">
      <c r="A527" s="9"/>
      <c r="B527" s="260"/>
      <c r="C527" s="293"/>
      <c r="D527" s="294"/>
      <c r="E527" s="294"/>
      <c r="F527" s="267" t="s">
        <v>389</v>
      </c>
      <c r="G527" s="295" t="s">
        <v>437</v>
      </c>
      <c r="H527" s="295"/>
      <c r="I527" s="296"/>
      <c r="J527" s="267" t="str">
        <f t="shared" ref="J527:J536" si="40">$F527</f>
        <v>SUN:</v>
      </c>
      <c r="K527" s="295"/>
      <c r="L527" s="295"/>
      <c r="M527" s="296"/>
      <c r="N527" s="267" t="s">
        <v>389</v>
      </c>
      <c r="O527" s="295"/>
      <c r="P527" s="295"/>
      <c r="Q527" s="296"/>
      <c r="R527" s="267" t="s">
        <v>391</v>
      </c>
      <c r="S527" s="297"/>
      <c r="T527" s="297"/>
      <c r="U527" s="243"/>
      <c r="X527" s="273"/>
      <c r="Y527" s="273"/>
      <c r="Z527" s="273"/>
      <c r="AB527" s="273"/>
      <c r="AC527" s="273"/>
      <c r="AD527" s="273"/>
      <c r="AF527" s="273"/>
      <c r="AG527" s="273"/>
      <c r="AH527" s="273"/>
      <c r="AJ527" s="273"/>
      <c r="AK527" s="273"/>
      <c r="AL527" s="273"/>
    </row>
    <row r="528" spans="1:38">
      <c r="A528" s="9"/>
      <c r="B528" s="260"/>
      <c r="C528" s="293"/>
      <c r="D528" s="294"/>
      <c r="E528" s="294"/>
      <c r="F528" s="267" t="s">
        <v>396</v>
      </c>
      <c r="G528" s="295" t="s">
        <v>437</v>
      </c>
      <c r="H528" s="295"/>
      <c r="J528" s="267" t="str">
        <f t="shared" si="40"/>
        <v>MON:</v>
      </c>
      <c r="K528" s="295"/>
      <c r="L528" s="295"/>
      <c r="M528" s="296"/>
      <c r="N528" s="267" t="s">
        <v>396</v>
      </c>
      <c r="O528" s="295"/>
      <c r="P528" s="295"/>
      <c r="Q528" s="296"/>
      <c r="R528" s="267" t="s">
        <v>397</v>
      </c>
      <c r="S528" s="297"/>
      <c r="T528" s="297"/>
      <c r="U528" s="243"/>
      <c r="X528" s="273"/>
      <c r="Y528" s="273"/>
      <c r="Z528" s="273"/>
      <c r="AB528" s="273"/>
      <c r="AC528" s="273"/>
      <c r="AD528" s="273"/>
      <c r="AF528" s="273"/>
      <c r="AG528" s="273"/>
      <c r="AH528" s="273"/>
      <c r="AJ528" s="273"/>
      <c r="AK528" s="273"/>
      <c r="AL528" s="273"/>
    </row>
    <row r="529" spans="1:38" ht="28.5">
      <c r="A529" s="9"/>
      <c r="B529" s="260"/>
      <c r="C529" s="298" t="s">
        <v>387</v>
      </c>
      <c r="D529" s="294"/>
      <c r="E529" s="294"/>
      <c r="F529" s="267" t="s">
        <v>402</v>
      </c>
      <c r="G529" s="295" t="s">
        <v>437</v>
      </c>
      <c r="H529" s="295"/>
      <c r="J529" s="267" t="str">
        <f t="shared" si="40"/>
        <v>TUE:</v>
      </c>
      <c r="K529" s="295"/>
      <c r="L529" s="295"/>
      <c r="M529" s="296"/>
      <c r="N529" s="267" t="s">
        <v>402</v>
      </c>
      <c r="O529" s="295"/>
      <c r="P529" s="295"/>
      <c r="Q529" s="296"/>
      <c r="R529" s="267" t="s">
        <v>403</v>
      </c>
      <c r="S529" s="297"/>
      <c r="T529" s="297"/>
      <c r="U529" s="243"/>
      <c r="X529" s="273"/>
      <c r="Y529" s="273"/>
      <c r="Z529" s="273"/>
      <c r="AB529" s="273"/>
      <c r="AC529" s="273"/>
      <c r="AD529" s="273"/>
      <c r="AF529" s="273"/>
      <c r="AG529" s="273"/>
      <c r="AH529" s="273"/>
      <c r="AJ529" s="273"/>
      <c r="AK529" s="273"/>
      <c r="AL529" s="273"/>
    </row>
    <row r="530" spans="1:38">
      <c r="A530" s="9"/>
      <c r="B530" s="260"/>
      <c r="C530" s="298"/>
      <c r="D530" s="294"/>
      <c r="E530" s="294"/>
      <c r="F530" s="267" t="s">
        <v>407</v>
      </c>
      <c r="G530" s="295" t="s">
        <v>437</v>
      </c>
      <c r="H530" s="295"/>
      <c r="J530" s="267" t="str">
        <f t="shared" si="40"/>
        <v>WED:</v>
      </c>
      <c r="K530" s="295"/>
      <c r="L530" s="295"/>
      <c r="M530" s="296"/>
      <c r="N530" s="267" t="s">
        <v>407</v>
      </c>
      <c r="O530" s="295"/>
      <c r="P530" s="295"/>
      <c r="Q530" s="296"/>
      <c r="R530" s="267" t="s">
        <v>408</v>
      </c>
      <c r="S530" s="297"/>
      <c r="T530" s="297"/>
      <c r="U530" s="243"/>
      <c r="X530" s="273"/>
      <c r="Y530" s="273"/>
      <c r="Z530" s="273"/>
      <c r="AB530" s="273"/>
      <c r="AC530" s="273"/>
      <c r="AD530" s="273"/>
      <c r="AF530" s="273"/>
      <c r="AG530" s="273"/>
      <c r="AH530" s="273"/>
      <c r="AJ530" s="273"/>
      <c r="AK530" s="273"/>
      <c r="AL530" s="273"/>
    </row>
    <row r="531" spans="1:38" ht="24">
      <c r="A531" s="9"/>
      <c r="B531" s="260"/>
      <c r="C531" s="274" t="s">
        <v>410</v>
      </c>
      <c r="D531" s="294"/>
      <c r="E531" s="294"/>
      <c r="F531" s="267" t="s">
        <v>411</v>
      </c>
      <c r="G531" s="295" t="s">
        <v>437</v>
      </c>
      <c r="H531" s="295"/>
      <c r="J531" s="267" t="str">
        <f t="shared" si="40"/>
        <v>THU:</v>
      </c>
      <c r="K531" s="295"/>
      <c r="L531" s="295"/>
      <c r="M531" s="296"/>
      <c r="N531" s="267" t="s">
        <v>411</v>
      </c>
      <c r="O531" s="295"/>
      <c r="P531" s="295"/>
      <c r="Q531" s="296"/>
      <c r="R531" s="267" t="s">
        <v>412</v>
      </c>
      <c r="S531" s="297"/>
      <c r="T531" s="297"/>
      <c r="U531" s="243"/>
      <c r="X531" s="273"/>
      <c r="Y531" s="273"/>
      <c r="Z531" s="273"/>
      <c r="AB531" s="273"/>
      <c r="AC531" s="273"/>
      <c r="AD531" s="273"/>
      <c r="AF531" s="273"/>
      <c r="AG531" s="273"/>
      <c r="AH531" s="273"/>
      <c r="AJ531" s="273"/>
      <c r="AK531" s="273"/>
      <c r="AL531" s="273"/>
    </row>
    <row r="532" spans="1:38">
      <c r="A532" s="9"/>
      <c r="B532" s="260"/>
      <c r="C532" s="274"/>
      <c r="D532" s="294"/>
      <c r="E532" s="294"/>
      <c r="F532" s="267" t="s">
        <v>414</v>
      </c>
      <c r="G532" s="295" t="s">
        <v>437</v>
      </c>
      <c r="H532" s="295"/>
      <c r="J532" s="267" t="str">
        <f t="shared" si="40"/>
        <v>FRI:</v>
      </c>
      <c r="K532" s="295"/>
      <c r="L532" s="295"/>
      <c r="M532" s="296"/>
      <c r="N532" s="267" t="s">
        <v>414</v>
      </c>
      <c r="O532" s="295"/>
      <c r="P532" s="295"/>
      <c r="Q532" s="296"/>
      <c r="R532" s="267" t="s">
        <v>415</v>
      </c>
      <c r="S532" s="297"/>
      <c r="T532" s="297"/>
      <c r="U532" s="243"/>
      <c r="X532" s="273"/>
      <c r="Y532" s="273"/>
      <c r="Z532" s="273"/>
      <c r="AB532" s="273"/>
      <c r="AC532" s="273"/>
      <c r="AD532" s="273"/>
      <c r="AF532" s="273"/>
      <c r="AG532" s="273"/>
      <c r="AH532" s="273"/>
      <c r="AJ532" s="273"/>
      <c r="AK532" s="273"/>
      <c r="AL532" s="273"/>
    </row>
    <row r="533" spans="1:38">
      <c r="A533" s="9"/>
      <c r="B533" s="260"/>
      <c r="C533" s="238" t="str">
        <f>IF(AND(C529="Other",OR(D533=" ",D533="")),"Select Type →",IF(AND(NOT(C529="Other"),AND(NOT(D533=" "),NOT(D533=""))),"Deselect Type→",VLOOKUP(C529,$BL$6:$BM$19,2,0)))</f>
        <v>On/Off</v>
      </c>
      <c r="D533" s="299"/>
      <c r="E533" s="299"/>
      <c r="F533" s="267" t="s">
        <v>418</v>
      </c>
      <c r="G533" s="295" t="s">
        <v>437</v>
      </c>
      <c r="H533" s="295"/>
      <c r="J533" s="267" t="str">
        <f t="shared" si="40"/>
        <v>SAT:</v>
      </c>
      <c r="K533" s="295"/>
      <c r="L533" s="295"/>
      <c r="M533" s="296"/>
      <c r="N533" s="267" t="s">
        <v>418</v>
      </c>
      <c r="O533" s="295"/>
      <c r="P533" s="295"/>
      <c r="Q533" s="296"/>
      <c r="R533" s="267" t="s">
        <v>419</v>
      </c>
      <c r="S533" s="297"/>
      <c r="T533" s="297"/>
      <c r="U533" s="243"/>
      <c r="X533" s="273"/>
      <c r="Y533" s="273"/>
      <c r="Z533" s="273"/>
      <c r="AB533" s="273"/>
      <c r="AC533" s="273"/>
      <c r="AD533" s="273"/>
      <c r="AF533" s="273"/>
      <c r="AG533" s="273"/>
      <c r="AH533" s="273"/>
      <c r="AJ533" s="273"/>
      <c r="AK533" s="273"/>
      <c r="AL533" s="273"/>
    </row>
    <row r="534" spans="1:38">
      <c r="A534" s="9"/>
      <c r="B534" s="260"/>
      <c r="C534" s="238"/>
      <c r="D534" s="299"/>
      <c r="E534" s="299"/>
      <c r="F534" s="267" t="s">
        <v>421</v>
      </c>
      <c r="G534" s="295" t="s">
        <v>437</v>
      </c>
      <c r="H534" s="295"/>
      <c r="J534" s="267" t="str">
        <f t="shared" si="40"/>
        <v>HOL:</v>
      </c>
      <c r="K534" s="295"/>
      <c r="L534" s="295"/>
      <c r="M534" s="296"/>
      <c r="N534" s="267" t="s">
        <v>421</v>
      </c>
      <c r="O534" s="295"/>
      <c r="P534" s="295"/>
      <c r="Q534" s="296"/>
      <c r="R534" s="267" t="s">
        <v>391</v>
      </c>
      <c r="S534" s="297"/>
      <c r="T534" s="297"/>
      <c r="U534" s="243"/>
      <c r="X534" s="273"/>
      <c r="Y534" s="273"/>
      <c r="Z534" s="273"/>
      <c r="AB534" s="273"/>
      <c r="AC534" s="273"/>
      <c r="AD534" s="273"/>
      <c r="AF534" s="273"/>
      <c r="AG534" s="273"/>
      <c r="AH534" s="273"/>
      <c r="AJ534" s="273"/>
      <c r="AK534" s="273"/>
      <c r="AL534" s="273"/>
    </row>
    <row r="535" spans="1:38">
      <c r="A535" s="9"/>
      <c r="B535" s="260"/>
      <c r="C535" s="300"/>
      <c r="D535" s="300"/>
      <c r="E535" s="300"/>
      <c r="F535" s="267" t="s">
        <v>424</v>
      </c>
      <c r="G535" s="295" t="s">
        <v>438</v>
      </c>
      <c r="H535" s="295"/>
      <c r="J535" s="267" t="str">
        <f t="shared" si="40"/>
        <v>HDD:</v>
      </c>
      <c r="K535" s="295"/>
      <c r="L535" s="295"/>
      <c r="M535" s="296"/>
      <c r="N535" s="267" t="s">
        <v>424</v>
      </c>
      <c r="O535" s="295"/>
      <c r="P535" s="295"/>
      <c r="Q535" s="296"/>
      <c r="R535" s="267" t="s">
        <v>426</v>
      </c>
      <c r="S535" s="297"/>
      <c r="T535" s="297"/>
      <c r="U535" s="243"/>
    </row>
    <row r="536" spans="1:38">
      <c r="A536" s="9"/>
      <c r="B536" s="260"/>
      <c r="C536" s="300"/>
      <c r="D536" s="300"/>
      <c r="E536" s="300"/>
      <c r="F536" s="267" t="s">
        <v>429</v>
      </c>
      <c r="G536" s="295" t="s">
        <v>439</v>
      </c>
      <c r="H536" s="295"/>
      <c r="I536" s="296"/>
      <c r="J536" s="267" t="str">
        <f t="shared" si="40"/>
        <v>CDD:</v>
      </c>
      <c r="K536" s="295"/>
      <c r="L536" s="295"/>
      <c r="M536" s="296"/>
      <c r="N536" s="267" t="s">
        <v>429</v>
      </c>
      <c r="O536" s="295"/>
      <c r="P536" s="295"/>
      <c r="Q536" s="296"/>
      <c r="R536" s="267" t="s">
        <v>431</v>
      </c>
      <c r="S536" s="297"/>
      <c r="T536" s="297"/>
      <c r="U536" s="243"/>
    </row>
    <row r="537" spans="1:38">
      <c r="A537" s="9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43"/>
    </row>
    <row r="538" spans="1:38" ht="28.5">
      <c r="A538" s="9">
        <f>A524+1</f>
        <v>39</v>
      </c>
      <c r="B538" s="282" t="s">
        <v>376</v>
      </c>
      <c r="C538" s="287" t="s">
        <v>435</v>
      </c>
      <c r="D538" s="287"/>
      <c r="E538" s="287"/>
      <c r="F538" s="249" t="s">
        <v>378</v>
      </c>
      <c r="G538" s="288" t="s">
        <v>379</v>
      </c>
      <c r="H538" s="289">
        <v>1</v>
      </c>
      <c r="I538" s="289"/>
      <c r="J538" s="249" t="s">
        <v>378</v>
      </c>
      <c r="K538" s="290" t="str">
        <f>IF(AND(G539="December",H539=31)," ",IF(VLOOKUP(G539,D!$G$5:$I$16,3,0)=H539,LOOKUP(VLOOKUP(G539,D!$G$4:$H$16,2,0)+1,D!$H$4:$H$16,D!$G$4:$G$16),G539))</f>
        <v>January</v>
      </c>
      <c r="L538" s="289">
        <f>IF(K538=" "," ",IF(K538=G539,H539+1,1))</f>
        <v>29</v>
      </c>
      <c r="M538" s="289"/>
      <c r="N538" s="249" t="s">
        <v>378</v>
      </c>
      <c r="O538" s="288" t="str">
        <f>IF(OR(K539=" ",AND(K539="December",L539=31))," ",IF(VLOOKUP(K539,D!$G$5:$I$16,3,0)=L539,LOOKUP(VLOOKUP(K539,D!$G$4:$H$16,2,0)+1,D!$H$4:$H$16,D!$G$4:$G$16),K539))</f>
        <v>June</v>
      </c>
      <c r="P538" s="289">
        <f>IF(O538=" "," ",IF(O538=K539,L539+1,1))</f>
        <v>9</v>
      </c>
      <c r="Q538" s="289"/>
      <c r="R538" s="249" t="s">
        <v>378</v>
      </c>
      <c r="S538" s="288" t="str">
        <f>IF(OR(O539=" ",AND(O539="December",P539=31))," ",IF(VLOOKUP(O539,D!$G$5:$I$16,3,0)=P539,LOOKUP(VLOOKUP(O539,D!$G$4:$H$16,2,0)+1,D!$H$4:$H$16,D!$G$4:$G$16),O539))</f>
        <v>September</v>
      </c>
      <c r="T538" s="289">
        <f>IF(S538=" "," ",IF(S538=O539,P539+1,1))</f>
        <v>9</v>
      </c>
      <c r="U538" s="243"/>
    </row>
    <row r="539" spans="1:38" ht="28.5">
      <c r="A539" s="9"/>
      <c r="B539" s="282"/>
      <c r="C539" s="287"/>
      <c r="D539" s="287"/>
      <c r="E539" s="287"/>
      <c r="F539" s="255" t="s">
        <v>380</v>
      </c>
      <c r="G539" s="291" t="s">
        <v>379</v>
      </c>
      <c r="H539" s="292">
        <v>28</v>
      </c>
      <c r="I539" s="292"/>
      <c r="J539" s="255" t="s">
        <v>380</v>
      </c>
      <c r="K539" s="291" t="s">
        <v>383</v>
      </c>
      <c r="L539" s="292">
        <v>8</v>
      </c>
      <c r="M539" s="292"/>
      <c r="N539" s="255" t="s">
        <v>380</v>
      </c>
      <c r="O539" s="291" t="s">
        <v>436</v>
      </c>
      <c r="P539" s="292">
        <v>8</v>
      </c>
      <c r="Q539" s="292"/>
      <c r="R539" s="255" t="s">
        <v>380</v>
      </c>
      <c r="S539" s="291" t="s">
        <v>384</v>
      </c>
      <c r="T539" s="292">
        <v>31</v>
      </c>
      <c r="U539" s="243"/>
      <c r="X539" s="273"/>
      <c r="Y539" s="273"/>
      <c r="Z539" s="273"/>
      <c r="AB539" s="273"/>
      <c r="AC539" s="273"/>
      <c r="AD539" s="273"/>
      <c r="AF539" s="273"/>
      <c r="AG539" s="273"/>
      <c r="AH539" s="273"/>
      <c r="AJ539" s="273"/>
      <c r="AK539" s="273"/>
      <c r="AL539" s="273"/>
    </row>
    <row r="540" spans="1:38">
      <c r="A540" s="9"/>
      <c r="B540" s="260"/>
      <c r="C540" s="293" t="s">
        <v>395</v>
      </c>
      <c r="D540" s="294"/>
      <c r="E540" s="294"/>
      <c r="F540" s="262"/>
      <c r="G540" s="263" t="str">
        <f>IF(OR(H539&gt;VLOOKUP(G539,D!$G$4:$I$16,3,0),AND(G539=G538,H539&lt;=H538),VLOOKUP(G539,D!$G$4:$H$16,2,0)&lt;VLOOKUP(G538,D!$G$4:$H$16,2,0)),"Must correct date!","")</f>
        <v/>
      </c>
      <c r="H540" s="263"/>
      <c r="J540" s="262"/>
      <c r="K540" s="263" t="str">
        <f>IF(AND(K539=" ",K538=" "),"",IF(OR(L539&gt;VLOOKUP(K539,D!$G$4:$I$16,3,0),AND(K539=K538,L539&lt;=L538),VLOOKUP(K539,D!$G$4:$H$16,2,0)&lt;VLOOKUP(K538,D!$G$4:$H$16,2,0)),"Must correct date!",""))</f>
        <v/>
      </c>
      <c r="L540" s="263"/>
      <c r="N540" s="262"/>
      <c r="O540" s="263" t="str">
        <f>IF(AND(O539=" ",O538=" "),"",IF(OR(P539&gt;VLOOKUP(O539,D!$G$4:$I$16,3,0),AND(O539=O538,P539&lt;=P538),VLOOKUP(O539,D!$G$4:$H$16,2,0)&lt;VLOOKUP(O538,D!$G$4:$H$16,2,0)),"Must correct date!",""))</f>
        <v/>
      </c>
      <c r="P540" s="263"/>
      <c r="R540" s="262"/>
      <c r="S540" s="265" t="str">
        <f>IF(AND(S539=" ",S538=" "),"",IF(OR(T539&gt;VLOOKUP(S539,D!$G$4:$I$16,3,0),AND(S539=S538,T539&lt;=T538),VLOOKUP(S539,D!$G$4:$H$16,2,0)&lt;VLOOKUP(S538,D!$G$4:$H$16,2,0)),"Must correct date!",""))</f>
        <v/>
      </c>
      <c r="T540" s="265"/>
      <c r="U540" s="243"/>
      <c r="X540" s="273"/>
      <c r="Y540" s="273"/>
      <c r="Z540" s="273"/>
      <c r="AB540" s="273"/>
      <c r="AC540" s="273"/>
      <c r="AD540" s="273"/>
      <c r="AF540" s="273"/>
      <c r="AG540" s="273"/>
      <c r="AH540" s="273"/>
      <c r="AJ540" s="273"/>
      <c r="AK540" s="273"/>
      <c r="AL540" s="273"/>
    </row>
    <row r="541" spans="1:38">
      <c r="A541" s="9"/>
      <c r="B541" s="260"/>
      <c r="C541" s="293"/>
      <c r="D541" s="294"/>
      <c r="E541" s="294"/>
      <c r="F541" s="267" t="s">
        <v>389</v>
      </c>
      <c r="G541" s="295" t="s">
        <v>437</v>
      </c>
      <c r="H541" s="295"/>
      <c r="I541" s="296"/>
      <c r="J541" s="267" t="str">
        <f t="shared" ref="J541:J550" si="41">$F541</f>
        <v>SUN:</v>
      </c>
      <c r="K541" s="295"/>
      <c r="L541" s="295"/>
      <c r="M541" s="296"/>
      <c r="N541" s="267" t="s">
        <v>389</v>
      </c>
      <c r="O541" s="295"/>
      <c r="P541" s="295"/>
      <c r="Q541" s="296"/>
      <c r="R541" s="267" t="s">
        <v>391</v>
      </c>
      <c r="S541" s="297"/>
      <c r="T541" s="297"/>
      <c r="U541" s="243"/>
      <c r="X541" s="273"/>
      <c r="Y541" s="273"/>
      <c r="Z541" s="273"/>
      <c r="AB541" s="273"/>
      <c r="AC541" s="273"/>
      <c r="AD541" s="273"/>
      <c r="AF541" s="273"/>
      <c r="AG541" s="273"/>
      <c r="AH541" s="273"/>
      <c r="AJ541" s="273"/>
      <c r="AK541" s="273"/>
      <c r="AL541" s="273"/>
    </row>
    <row r="542" spans="1:38">
      <c r="A542" s="9"/>
      <c r="B542" s="260"/>
      <c r="C542" s="293"/>
      <c r="D542" s="294"/>
      <c r="E542" s="294"/>
      <c r="F542" s="267" t="s">
        <v>396</v>
      </c>
      <c r="G542" s="295" t="s">
        <v>437</v>
      </c>
      <c r="H542" s="295"/>
      <c r="J542" s="267" t="str">
        <f t="shared" si="41"/>
        <v>MON:</v>
      </c>
      <c r="K542" s="295"/>
      <c r="L542" s="295"/>
      <c r="M542" s="296"/>
      <c r="N542" s="267" t="s">
        <v>396</v>
      </c>
      <c r="O542" s="295"/>
      <c r="P542" s="295"/>
      <c r="Q542" s="296"/>
      <c r="R542" s="267" t="s">
        <v>397</v>
      </c>
      <c r="S542" s="297"/>
      <c r="T542" s="297"/>
      <c r="U542" s="243"/>
      <c r="X542" s="273"/>
      <c r="Y542" s="273"/>
      <c r="Z542" s="273"/>
      <c r="AB542" s="273"/>
      <c r="AC542" s="273"/>
      <c r="AD542" s="273"/>
      <c r="AF542" s="273"/>
      <c r="AG542" s="273"/>
      <c r="AH542" s="273"/>
      <c r="AJ542" s="273"/>
      <c r="AK542" s="273"/>
      <c r="AL542" s="273"/>
    </row>
    <row r="543" spans="1:38" ht="28.5">
      <c r="A543" s="9"/>
      <c r="B543" s="260"/>
      <c r="C543" s="298" t="s">
        <v>387</v>
      </c>
      <c r="D543" s="294"/>
      <c r="E543" s="294"/>
      <c r="F543" s="267" t="s">
        <v>402</v>
      </c>
      <c r="G543" s="295" t="s">
        <v>437</v>
      </c>
      <c r="H543" s="295"/>
      <c r="J543" s="267" t="str">
        <f t="shared" si="41"/>
        <v>TUE:</v>
      </c>
      <c r="K543" s="295"/>
      <c r="L543" s="295"/>
      <c r="M543" s="296"/>
      <c r="N543" s="267" t="s">
        <v>402</v>
      </c>
      <c r="O543" s="295"/>
      <c r="P543" s="295"/>
      <c r="Q543" s="296"/>
      <c r="R543" s="267" t="s">
        <v>403</v>
      </c>
      <c r="S543" s="297"/>
      <c r="T543" s="297"/>
      <c r="U543" s="243"/>
      <c r="X543" s="273"/>
      <c r="Y543" s="273"/>
      <c r="Z543" s="273"/>
      <c r="AB543" s="273"/>
      <c r="AC543" s="273"/>
      <c r="AD543" s="273"/>
      <c r="AF543" s="273"/>
      <c r="AG543" s="273"/>
      <c r="AH543" s="273"/>
      <c r="AJ543" s="273"/>
      <c r="AK543" s="273"/>
      <c r="AL543" s="273"/>
    </row>
    <row r="544" spans="1:38">
      <c r="A544" s="9"/>
      <c r="B544" s="260"/>
      <c r="C544" s="298"/>
      <c r="D544" s="294"/>
      <c r="E544" s="294"/>
      <c r="F544" s="267" t="s">
        <v>407</v>
      </c>
      <c r="G544" s="295" t="s">
        <v>437</v>
      </c>
      <c r="H544" s="295"/>
      <c r="J544" s="267" t="str">
        <f t="shared" si="41"/>
        <v>WED:</v>
      </c>
      <c r="K544" s="295"/>
      <c r="L544" s="295"/>
      <c r="M544" s="296"/>
      <c r="N544" s="267" t="s">
        <v>407</v>
      </c>
      <c r="O544" s="295"/>
      <c r="P544" s="295"/>
      <c r="Q544" s="296"/>
      <c r="R544" s="267" t="s">
        <v>408</v>
      </c>
      <c r="S544" s="297"/>
      <c r="T544" s="297"/>
      <c r="U544" s="243"/>
      <c r="X544" s="273"/>
      <c r="Y544" s="273"/>
      <c r="Z544" s="273"/>
      <c r="AB544" s="273"/>
      <c r="AC544" s="273"/>
      <c r="AD544" s="273"/>
      <c r="AF544" s="273"/>
      <c r="AG544" s="273"/>
      <c r="AH544" s="273"/>
      <c r="AJ544" s="273"/>
      <c r="AK544" s="273"/>
      <c r="AL544" s="273"/>
    </row>
    <row r="545" spans="1:38" ht="24">
      <c r="A545" s="9"/>
      <c r="B545" s="260"/>
      <c r="C545" s="274" t="s">
        <v>410</v>
      </c>
      <c r="D545" s="294"/>
      <c r="E545" s="294"/>
      <c r="F545" s="267" t="s">
        <v>411</v>
      </c>
      <c r="G545" s="295" t="s">
        <v>437</v>
      </c>
      <c r="H545" s="295"/>
      <c r="J545" s="267" t="str">
        <f t="shared" si="41"/>
        <v>THU:</v>
      </c>
      <c r="K545" s="295"/>
      <c r="L545" s="295"/>
      <c r="M545" s="296"/>
      <c r="N545" s="267" t="s">
        <v>411</v>
      </c>
      <c r="O545" s="295"/>
      <c r="P545" s="295"/>
      <c r="Q545" s="296"/>
      <c r="R545" s="267" t="s">
        <v>412</v>
      </c>
      <c r="S545" s="297"/>
      <c r="T545" s="297"/>
      <c r="U545" s="243"/>
      <c r="X545" s="273"/>
      <c r="Y545" s="273"/>
      <c r="Z545" s="273"/>
      <c r="AB545" s="273"/>
      <c r="AC545" s="273"/>
      <c r="AD545" s="273"/>
      <c r="AF545" s="273"/>
      <c r="AG545" s="273"/>
      <c r="AH545" s="273"/>
      <c r="AJ545" s="273"/>
      <c r="AK545" s="273"/>
      <c r="AL545" s="273"/>
    </row>
    <row r="546" spans="1:38">
      <c r="A546" s="9"/>
      <c r="B546" s="260"/>
      <c r="C546" s="274"/>
      <c r="D546" s="294"/>
      <c r="E546" s="294"/>
      <c r="F546" s="267" t="s">
        <v>414</v>
      </c>
      <c r="G546" s="295" t="s">
        <v>437</v>
      </c>
      <c r="H546" s="295"/>
      <c r="J546" s="267" t="str">
        <f t="shared" si="41"/>
        <v>FRI:</v>
      </c>
      <c r="K546" s="295"/>
      <c r="L546" s="295"/>
      <c r="M546" s="296"/>
      <c r="N546" s="267" t="s">
        <v>414</v>
      </c>
      <c r="O546" s="295"/>
      <c r="P546" s="295"/>
      <c r="Q546" s="296"/>
      <c r="R546" s="267" t="s">
        <v>415</v>
      </c>
      <c r="S546" s="297"/>
      <c r="T546" s="297"/>
      <c r="U546" s="243"/>
      <c r="X546" s="273"/>
      <c r="Y546" s="273"/>
      <c r="Z546" s="273"/>
      <c r="AB546" s="273"/>
      <c r="AC546" s="273"/>
      <c r="AD546" s="273"/>
      <c r="AF546" s="273"/>
      <c r="AG546" s="273"/>
      <c r="AH546" s="273"/>
      <c r="AJ546" s="273"/>
      <c r="AK546" s="273"/>
      <c r="AL546" s="273"/>
    </row>
    <row r="547" spans="1:38">
      <c r="A547" s="9"/>
      <c r="B547" s="260"/>
      <c r="C547" s="238" t="str">
        <f>IF(AND(C543="Other",OR(D547=" ",D547="")),"Select Type →",IF(AND(NOT(C543="Other"),AND(NOT(D547=" "),NOT(D547=""))),"Deselect Type→",VLOOKUP(C543,$BL$6:$BM$19,2,0)))</f>
        <v>On/Off</v>
      </c>
      <c r="D547" s="299"/>
      <c r="E547" s="299"/>
      <c r="F547" s="267" t="s">
        <v>418</v>
      </c>
      <c r="G547" s="295" t="s">
        <v>437</v>
      </c>
      <c r="H547" s="295"/>
      <c r="J547" s="267" t="str">
        <f t="shared" si="41"/>
        <v>SAT:</v>
      </c>
      <c r="K547" s="295"/>
      <c r="L547" s="295"/>
      <c r="M547" s="296"/>
      <c r="N547" s="267" t="s">
        <v>418</v>
      </c>
      <c r="O547" s="295"/>
      <c r="P547" s="295"/>
      <c r="Q547" s="296"/>
      <c r="R547" s="267" t="s">
        <v>419</v>
      </c>
      <c r="S547" s="297"/>
      <c r="T547" s="297"/>
      <c r="U547" s="243"/>
      <c r="X547" s="273"/>
      <c r="Y547" s="273"/>
      <c r="Z547" s="273"/>
      <c r="AB547" s="273"/>
      <c r="AC547" s="273"/>
      <c r="AD547" s="273"/>
      <c r="AF547" s="273"/>
      <c r="AG547" s="273"/>
      <c r="AH547" s="273"/>
      <c r="AJ547" s="273"/>
      <c r="AK547" s="273"/>
      <c r="AL547" s="273"/>
    </row>
    <row r="548" spans="1:38">
      <c r="A548" s="9"/>
      <c r="B548" s="260"/>
      <c r="C548" s="238"/>
      <c r="D548" s="299"/>
      <c r="E548" s="299"/>
      <c r="F548" s="267" t="s">
        <v>421</v>
      </c>
      <c r="G548" s="295" t="s">
        <v>437</v>
      </c>
      <c r="H548" s="295"/>
      <c r="J548" s="267" t="str">
        <f t="shared" si="41"/>
        <v>HOL:</v>
      </c>
      <c r="K548" s="295"/>
      <c r="L548" s="295"/>
      <c r="M548" s="296"/>
      <c r="N548" s="267" t="s">
        <v>421</v>
      </c>
      <c r="O548" s="295"/>
      <c r="P548" s="295"/>
      <c r="Q548" s="296"/>
      <c r="R548" s="267" t="s">
        <v>391</v>
      </c>
      <c r="S548" s="297"/>
      <c r="T548" s="297"/>
      <c r="U548" s="243"/>
      <c r="X548" s="273"/>
      <c r="Y548" s="273"/>
      <c r="Z548" s="273"/>
      <c r="AB548" s="273"/>
      <c r="AC548" s="273"/>
      <c r="AD548" s="273"/>
      <c r="AF548" s="273"/>
      <c r="AG548" s="273"/>
      <c r="AH548" s="273"/>
      <c r="AJ548" s="273"/>
      <c r="AK548" s="273"/>
      <c r="AL548" s="273"/>
    </row>
    <row r="549" spans="1:38">
      <c r="A549" s="9"/>
      <c r="B549" s="260"/>
      <c r="C549" s="300"/>
      <c r="D549" s="300"/>
      <c r="E549" s="300"/>
      <c r="F549" s="267" t="s">
        <v>424</v>
      </c>
      <c r="G549" s="295" t="s">
        <v>438</v>
      </c>
      <c r="H549" s="295"/>
      <c r="J549" s="267" t="str">
        <f t="shared" si="41"/>
        <v>HDD:</v>
      </c>
      <c r="K549" s="295"/>
      <c r="L549" s="295"/>
      <c r="M549" s="296"/>
      <c r="N549" s="267" t="s">
        <v>424</v>
      </c>
      <c r="O549" s="295"/>
      <c r="P549" s="295"/>
      <c r="Q549" s="296"/>
      <c r="R549" s="267" t="s">
        <v>426</v>
      </c>
      <c r="S549" s="297"/>
      <c r="T549" s="297"/>
      <c r="U549" s="243"/>
    </row>
    <row r="550" spans="1:38">
      <c r="A550" s="9"/>
      <c r="B550" s="260"/>
      <c r="C550" s="300"/>
      <c r="D550" s="300"/>
      <c r="E550" s="300"/>
      <c r="F550" s="267" t="s">
        <v>429</v>
      </c>
      <c r="G550" s="295" t="s">
        <v>439</v>
      </c>
      <c r="H550" s="295"/>
      <c r="I550" s="296"/>
      <c r="J550" s="267" t="str">
        <f t="shared" si="41"/>
        <v>CDD:</v>
      </c>
      <c r="K550" s="295"/>
      <c r="L550" s="295"/>
      <c r="M550" s="296"/>
      <c r="N550" s="267" t="s">
        <v>429</v>
      </c>
      <c r="O550" s="295"/>
      <c r="P550" s="295"/>
      <c r="Q550" s="296"/>
      <c r="R550" s="267" t="s">
        <v>431</v>
      </c>
      <c r="S550" s="297"/>
      <c r="T550" s="297"/>
      <c r="U550" s="243"/>
    </row>
    <row r="551" spans="1:38">
      <c r="A551" s="9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43"/>
    </row>
    <row r="552" spans="1:38" ht="28.5">
      <c r="A552" s="9">
        <f>A538+1</f>
        <v>40</v>
      </c>
      <c r="B552" s="282" t="s">
        <v>376</v>
      </c>
      <c r="C552" s="287" t="s">
        <v>435</v>
      </c>
      <c r="D552" s="287"/>
      <c r="E552" s="287"/>
      <c r="F552" s="249" t="s">
        <v>378</v>
      </c>
      <c r="G552" s="288" t="s">
        <v>379</v>
      </c>
      <c r="H552" s="289">
        <v>1</v>
      </c>
      <c r="I552" s="289"/>
      <c r="J552" s="249" t="s">
        <v>378</v>
      </c>
      <c r="K552" s="290" t="str">
        <f>IF(AND(G553="December",H553=31)," ",IF(VLOOKUP(G553,D!$G$5:$I$16,3,0)=H553,LOOKUP(VLOOKUP(G553,D!$G$4:$H$16,2,0)+1,D!$H$4:$H$16,D!$G$4:$G$16),G553))</f>
        <v>January</v>
      </c>
      <c r="L552" s="289">
        <f>IF(K552=" "," ",IF(K552=G553,H553+1,1))</f>
        <v>29</v>
      </c>
      <c r="M552" s="289"/>
      <c r="N552" s="249" t="s">
        <v>378</v>
      </c>
      <c r="O552" s="288" t="str">
        <f>IF(OR(K553=" ",AND(K553="December",L553=31))," ",IF(VLOOKUP(K553,D!$G$5:$I$16,3,0)=L553,LOOKUP(VLOOKUP(K553,D!$G$4:$H$16,2,0)+1,D!$H$4:$H$16,D!$G$4:$G$16),K553))</f>
        <v>June</v>
      </c>
      <c r="P552" s="289">
        <f>IF(O552=" "," ",IF(O552=K553,L553+1,1))</f>
        <v>9</v>
      </c>
      <c r="Q552" s="289"/>
      <c r="R552" s="249" t="s">
        <v>378</v>
      </c>
      <c r="S552" s="288" t="str">
        <f>IF(OR(O553=" ",AND(O553="December",P553=31))," ",IF(VLOOKUP(O553,D!$G$5:$I$16,3,0)=P553,LOOKUP(VLOOKUP(O553,D!$G$4:$H$16,2,0)+1,D!$H$4:$H$16,D!$G$4:$G$16),O553))</f>
        <v>September</v>
      </c>
      <c r="T552" s="289">
        <f>IF(S552=" "," ",IF(S552=O553,P553+1,1))</f>
        <v>9</v>
      </c>
      <c r="U552" s="243"/>
    </row>
    <row r="553" spans="1:38" ht="28.5">
      <c r="A553" s="9"/>
      <c r="B553" s="282"/>
      <c r="C553" s="287"/>
      <c r="D553" s="287"/>
      <c r="E553" s="287"/>
      <c r="F553" s="255" t="s">
        <v>380</v>
      </c>
      <c r="G553" s="291" t="s">
        <v>379</v>
      </c>
      <c r="H553" s="292">
        <v>28</v>
      </c>
      <c r="I553" s="292"/>
      <c r="J553" s="255" t="s">
        <v>380</v>
      </c>
      <c r="K553" s="291" t="s">
        <v>383</v>
      </c>
      <c r="L553" s="292">
        <v>8</v>
      </c>
      <c r="M553" s="292"/>
      <c r="N553" s="255" t="s">
        <v>380</v>
      </c>
      <c r="O553" s="291" t="s">
        <v>436</v>
      </c>
      <c r="P553" s="292">
        <v>8</v>
      </c>
      <c r="Q553" s="292"/>
      <c r="R553" s="255" t="s">
        <v>380</v>
      </c>
      <c r="S553" s="291" t="s">
        <v>384</v>
      </c>
      <c r="T553" s="292">
        <v>31</v>
      </c>
      <c r="U553" s="243"/>
      <c r="X553" s="273"/>
      <c r="Y553" s="273"/>
      <c r="Z553" s="273"/>
      <c r="AB553" s="273"/>
      <c r="AC553" s="273"/>
      <c r="AD553" s="273"/>
      <c r="AF553" s="273"/>
      <c r="AG553" s="273"/>
      <c r="AH553" s="273"/>
      <c r="AJ553" s="273"/>
      <c r="AK553" s="273"/>
      <c r="AL553" s="273"/>
    </row>
    <row r="554" spans="1:38">
      <c r="A554" s="9"/>
      <c r="B554" s="260"/>
      <c r="C554" s="293" t="s">
        <v>395</v>
      </c>
      <c r="D554" s="294"/>
      <c r="E554" s="294"/>
      <c r="F554" s="262"/>
      <c r="G554" s="263" t="str">
        <f>IF(OR(H553&gt;VLOOKUP(G553,D!$G$4:$I$16,3,0),AND(G553=G552,H553&lt;=H552),VLOOKUP(G553,D!$G$4:$H$16,2,0)&lt;VLOOKUP(G552,D!$G$4:$H$16,2,0)),"Must correct date!","")</f>
        <v/>
      </c>
      <c r="H554" s="263"/>
      <c r="J554" s="262"/>
      <c r="K554" s="263" t="str">
        <f>IF(AND(K553=" ",K552=" "),"",IF(OR(L553&gt;VLOOKUP(K553,D!$G$4:$I$16,3,0),AND(K553=K552,L553&lt;=L552),VLOOKUP(K553,D!$G$4:$H$16,2,0)&lt;VLOOKUP(K552,D!$G$4:$H$16,2,0)),"Must correct date!",""))</f>
        <v/>
      </c>
      <c r="L554" s="263"/>
      <c r="N554" s="262"/>
      <c r="O554" s="263" t="str">
        <f>IF(AND(O553=" ",O552=" "),"",IF(OR(P553&gt;VLOOKUP(O553,D!$G$4:$I$16,3,0),AND(O553=O552,P553&lt;=P552),VLOOKUP(O553,D!$G$4:$H$16,2,0)&lt;VLOOKUP(O552,D!$G$4:$H$16,2,0)),"Must correct date!",""))</f>
        <v/>
      </c>
      <c r="P554" s="263"/>
      <c r="R554" s="262"/>
      <c r="S554" s="265" t="str">
        <f>IF(AND(S553=" ",S552=" "),"",IF(OR(T553&gt;VLOOKUP(S553,D!$G$4:$I$16,3,0),AND(S553=S552,T553&lt;=T552),VLOOKUP(S553,D!$G$4:$H$16,2,0)&lt;VLOOKUP(S552,D!$G$4:$H$16,2,0)),"Must correct date!",""))</f>
        <v/>
      </c>
      <c r="T554" s="265"/>
      <c r="U554" s="243"/>
      <c r="X554" s="273"/>
      <c r="Y554" s="273"/>
      <c r="Z554" s="273"/>
      <c r="AB554" s="273"/>
      <c r="AC554" s="273"/>
      <c r="AD554" s="273"/>
      <c r="AF554" s="273"/>
      <c r="AG554" s="273"/>
      <c r="AH554" s="273"/>
      <c r="AJ554" s="273"/>
      <c r="AK554" s="273"/>
      <c r="AL554" s="273"/>
    </row>
    <row r="555" spans="1:38">
      <c r="A555" s="9"/>
      <c r="B555" s="260"/>
      <c r="C555" s="293"/>
      <c r="D555" s="294"/>
      <c r="E555" s="294"/>
      <c r="F555" s="267" t="s">
        <v>389</v>
      </c>
      <c r="G555" s="295" t="s">
        <v>437</v>
      </c>
      <c r="H555" s="295"/>
      <c r="I555" s="296"/>
      <c r="J555" s="267" t="str">
        <f t="shared" ref="J555:J564" si="42">$F555</f>
        <v>SUN:</v>
      </c>
      <c r="K555" s="295"/>
      <c r="L555" s="295"/>
      <c r="M555" s="296"/>
      <c r="N555" s="267" t="s">
        <v>389</v>
      </c>
      <c r="O555" s="295"/>
      <c r="P555" s="295"/>
      <c r="Q555" s="296"/>
      <c r="R555" s="267" t="s">
        <v>391</v>
      </c>
      <c r="S555" s="297"/>
      <c r="T555" s="297"/>
      <c r="U555" s="243"/>
      <c r="X555" s="273"/>
      <c r="Y555" s="273"/>
      <c r="Z555" s="273"/>
      <c r="AB555" s="273"/>
      <c r="AC555" s="273"/>
      <c r="AD555" s="273"/>
      <c r="AF555" s="273"/>
      <c r="AG555" s="273"/>
      <c r="AH555" s="273"/>
      <c r="AJ555" s="273"/>
      <c r="AK555" s="273"/>
      <c r="AL555" s="273"/>
    </row>
    <row r="556" spans="1:38">
      <c r="A556" s="9"/>
      <c r="B556" s="260"/>
      <c r="C556" s="293"/>
      <c r="D556" s="294"/>
      <c r="E556" s="294"/>
      <c r="F556" s="267" t="s">
        <v>396</v>
      </c>
      <c r="G556" s="295" t="s">
        <v>437</v>
      </c>
      <c r="H556" s="295"/>
      <c r="J556" s="267" t="str">
        <f t="shared" si="42"/>
        <v>MON:</v>
      </c>
      <c r="K556" s="295"/>
      <c r="L556" s="295"/>
      <c r="M556" s="296"/>
      <c r="N556" s="267" t="s">
        <v>396</v>
      </c>
      <c r="O556" s="295"/>
      <c r="P556" s="295"/>
      <c r="Q556" s="296"/>
      <c r="R556" s="267" t="s">
        <v>397</v>
      </c>
      <c r="S556" s="297"/>
      <c r="T556" s="297"/>
      <c r="U556" s="243"/>
      <c r="X556" s="273"/>
      <c r="Y556" s="273"/>
      <c r="Z556" s="273"/>
      <c r="AB556" s="273"/>
      <c r="AC556" s="273"/>
      <c r="AD556" s="273"/>
      <c r="AF556" s="273"/>
      <c r="AG556" s="273"/>
      <c r="AH556" s="273"/>
      <c r="AJ556" s="273"/>
      <c r="AK556" s="273"/>
      <c r="AL556" s="273"/>
    </row>
    <row r="557" spans="1:38" ht="28.5">
      <c r="A557" s="9"/>
      <c r="B557" s="260"/>
      <c r="C557" s="298" t="s">
        <v>387</v>
      </c>
      <c r="D557" s="294"/>
      <c r="E557" s="294"/>
      <c r="F557" s="267" t="s">
        <v>402</v>
      </c>
      <c r="G557" s="295" t="s">
        <v>437</v>
      </c>
      <c r="H557" s="295"/>
      <c r="J557" s="267" t="str">
        <f t="shared" si="42"/>
        <v>TUE:</v>
      </c>
      <c r="K557" s="295"/>
      <c r="L557" s="295"/>
      <c r="M557" s="296"/>
      <c r="N557" s="267" t="s">
        <v>402</v>
      </c>
      <c r="O557" s="295"/>
      <c r="P557" s="295"/>
      <c r="Q557" s="296"/>
      <c r="R557" s="267" t="s">
        <v>403</v>
      </c>
      <c r="S557" s="297"/>
      <c r="T557" s="297"/>
      <c r="U557" s="243"/>
      <c r="X557" s="273"/>
      <c r="Y557" s="273"/>
      <c r="Z557" s="273"/>
      <c r="AB557" s="273"/>
      <c r="AC557" s="273"/>
      <c r="AD557" s="273"/>
      <c r="AF557" s="273"/>
      <c r="AG557" s="273"/>
      <c r="AH557" s="273"/>
      <c r="AJ557" s="273"/>
      <c r="AK557" s="273"/>
      <c r="AL557" s="273"/>
    </row>
    <row r="558" spans="1:38">
      <c r="A558" s="9"/>
      <c r="B558" s="260"/>
      <c r="C558" s="298"/>
      <c r="D558" s="294"/>
      <c r="E558" s="294"/>
      <c r="F558" s="267" t="s">
        <v>407</v>
      </c>
      <c r="G558" s="295" t="s">
        <v>437</v>
      </c>
      <c r="H558" s="295"/>
      <c r="J558" s="267" t="str">
        <f t="shared" si="42"/>
        <v>WED:</v>
      </c>
      <c r="K558" s="295"/>
      <c r="L558" s="295"/>
      <c r="M558" s="296"/>
      <c r="N558" s="267" t="s">
        <v>407</v>
      </c>
      <c r="O558" s="295"/>
      <c r="P558" s="295"/>
      <c r="Q558" s="296"/>
      <c r="R558" s="267" t="s">
        <v>408</v>
      </c>
      <c r="S558" s="297"/>
      <c r="T558" s="297"/>
      <c r="U558" s="243"/>
      <c r="X558" s="273"/>
      <c r="Y558" s="273"/>
      <c r="Z558" s="273"/>
      <c r="AB558" s="273"/>
      <c r="AC558" s="273"/>
      <c r="AD558" s="273"/>
      <c r="AF558" s="273"/>
      <c r="AG558" s="273"/>
      <c r="AH558" s="273"/>
      <c r="AJ558" s="273"/>
      <c r="AK558" s="273"/>
      <c r="AL558" s="273"/>
    </row>
    <row r="559" spans="1:38" ht="24">
      <c r="A559" s="9"/>
      <c r="B559" s="260"/>
      <c r="C559" s="274" t="s">
        <v>410</v>
      </c>
      <c r="D559" s="294"/>
      <c r="E559" s="294"/>
      <c r="F559" s="267" t="s">
        <v>411</v>
      </c>
      <c r="G559" s="295" t="s">
        <v>437</v>
      </c>
      <c r="H559" s="295"/>
      <c r="J559" s="267" t="str">
        <f t="shared" si="42"/>
        <v>THU:</v>
      </c>
      <c r="K559" s="295"/>
      <c r="L559" s="295"/>
      <c r="M559" s="296"/>
      <c r="N559" s="267" t="s">
        <v>411</v>
      </c>
      <c r="O559" s="295"/>
      <c r="P559" s="295"/>
      <c r="Q559" s="296"/>
      <c r="R559" s="267" t="s">
        <v>412</v>
      </c>
      <c r="S559" s="297"/>
      <c r="T559" s="297"/>
      <c r="U559" s="243"/>
      <c r="X559" s="273"/>
      <c r="Y559" s="273"/>
      <c r="Z559" s="273"/>
      <c r="AB559" s="273"/>
      <c r="AC559" s="273"/>
      <c r="AD559" s="273"/>
      <c r="AF559" s="273"/>
      <c r="AG559" s="273"/>
      <c r="AH559" s="273"/>
      <c r="AJ559" s="273"/>
      <c r="AK559" s="273"/>
      <c r="AL559" s="273"/>
    </row>
    <row r="560" spans="1:38">
      <c r="A560" s="9"/>
      <c r="B560" s="260"/>
      <c r="C560" s="274"/>
      <c r="D560" s="294"/>
      <c r="E560" s="294"/>
      <c r="F560" s="267" t="s">
        <v>414</v>
      </c>
      <c r="G560" s="295" t="s">
        <v>437</v>
      </c>
      <c r="H560" s="295"/>
      <c r="J560" s="267" t="str">
        <f t="shared" si="42"/>
        <v>FRI:</v>
      </c>
      <c r="K560" s="295"/>
      <c r="L560" s="295"/>
      <c r="M560" s="296"/>
      <c r="N560" s="267" t="s">
        <v>414</v>
      </c>
      <c r="O560" s="295"/>
      <c r="P560" s="295"/>
      <c r="Q560" s="296"/>
      <c r="R560" s="267" t="s">
        <v>415</v>
      </c>
      <c r="S560" s="297"/>
      <c r="T560" s="297"/>
      <c r="U560" s="243"/>
      <c r="X560" s="273"/>
      <c r="Y560" s="273"/>
      <c r="Z560" s="273"/>
      <c r="AB560" s="273"/>
      <c r="AC560" s="273"/>
      <c r="AD560" s="273"/>
      <c r="AF560" s="273"/>
      <c r="AG560" s="273"/>
      <c r="AH560" s="273"/>
      <c r="AJ560" s="273"/>
      <c r="AK560" s="273"/>
      <c r="AL560" s="273"/>
    </row>
    <row r="561" spans="1:38">
      <c r="A561" s="9"/>
      <c r="B561" s="260"/>
      <c r="C561" s="238" t="str">
        <f>IF(AND(C557="Other",OR(D561=" ",D561="")),"Select Type →",IF(AND(NOT(C557="Other"),AND(NOT(D561=" "),NOT(D561=""))),"Deselect Type→",VLOOKUP(C557,$BL$6:$BM$19,2,0)))</f>
        <v>On/Off</v>
      </c>
      <c r="D561" s="299"/>
      <c r="E561" s="299"/>
      <c r="F561" s="267" t="s">
        <v>418</v>
      </c>
      <c r="G561" s="295" t="s">
        <v>437</v>
      </c>
      <c r="H561" s="295"/>
      <c r="J561" s="267" t="str">
        <f t="shared" si="42"/>
        <v>SAT:</v>
      </c>
      <c r="K561" s="295"/>
      <c r="L561" s="295"/>
      <c r="M561" s="296"/>
      <c r="N561" s="267" t="s">
        <v>418</v>
      </c>
      <c r="O561" s="295"/>
      <c r="P561" s="295"/>
      <c r="Q561" s="296"/>
      <c r="R561" s="267" t="s">
        <v>419</v>
      </c>
      <c r="S561" s="297"/>
      <c r="T561" s="297"/>
      <c r="U561" s="243"/>
      <c r="X561" s="273"/>
      <c r="Y561" s="273"/>
      <c r="Z561" s="273"/>
      <c r="AB561" s="273"/>
      <c r="AC561" s="273"/>
      <c r="AD561" s="273"/>
      <c r="AF561" s="273"/>
      <c r="AG561" s="273"/>
      <c r="AH561" s="273"/>
      <c r="AJ561" s="273"/>
      <c r="AK561" s="273"/>
      <c r="AL561" s="273"/>
    </row>
    <row r="562" spans="1:38">
      <c r="A562" s="9"/>
      <c r="B562" s="260"/>
      <c r="C562" s="238"/>
      <c r="D562" s="299"/>
      <c r="E562" s="299"/>
      <c r="F562" s="267" t="s">
        <v>421</v>
      </c>
      <c r="G562" s="295" t="s">
        <v>437</v>
      </c>
      <c r="H562" s="295"/>
      <c r="J562" s="267" t="str">
        <f t="shared" si="42"/>
        <v>HOL:</v>
      </c>
      <c r="K562" s="295"/>
      <c r="L562" s="295"/>
      <c r="M562" s="296"/>
      <c r="N562" s="267" t="s">
        <v>421</v>
      </c>
      <c r="O562" s="295"/>
      <c r="P562" s="295"/>
      <c r="Q562" s="296"/>
      <c r="R562" s="267" t="s">
        <v>391</v>
      </c>
      <c r="S562" s="297"/>
      <c r="T562" s="297"/>
      <c r="U562" s="243"/>
      <c r="X562" s="273"/>
      <c r="Y562" s="273"/>
      <c r="Z562" s="273"/>
      <c r="AB562" s="273"/>
      <c r="AC562" s="273"/>
      <c r="AD562" s="273"/>
      <c r="AF562" s="273"/>
      <c r="AG562" s="273"/>
      <c r="AH562" s="273"/>
      <c r="AJ562" s="273"/>
      <c r="AK562" s="273"/>
      <c r="AL562" s="273"/>
    </row>
    <row r="563" spans="1:38">
      <c r="A563" s="9"/>
      <c r="B563" s="260"/>
      <c r="C563" s="300"/>
      <c r="D563" s="300"/>
      <c r="E563" s="300"/>
      <c r="F563" s="267" t="s">
        <v>424</v>
      </c>
      <c r="G563" s="295" t="s">
        <v>438</v>
      </c>
      <c r="H563" s="295"/>
      <c r="J563" s="267" t="str">
        <f t="shared" si="42"/>
        <v>HDD:</v>
      </c>
      <c r="K563" s="295"/>
      <c r="L563" s="295"/>
      <c r="M563" s="296"/>
      <c r="N563" s="267" t="s">
        <v>424</v>
      </c>
      <c r="O563" s="295"/>
      <c r="P563" s="295"/>
      <c r="Q563" s="296"/>
      <c r="R563" s="267" t="s">
        <v>426</v>
      </c>
      <c r="S563" s="297"/>
      <c r="T563" s="297"/>
      <c r="U563" s="243"/>
    </row>
    <row r="564" spans="1:38">
      <c r="A564" s="9"/>
      <c r="B564" s="260"/>
      <c r="C564" s="300"/>
      <c r="D564" s="300"/>
      <c r="E564" s="300"/>
      <c r="F564" s="267" t="s">
        <v>429</v>
      </c>
      <c r="G564" s="295" t="s">
        <v>439</v>
      </c>
      <c r="H564" s="295"/>
      <c r="I564" s="296"/>
      <c r="J564" s="267" t="str">
        <f t="shared" si="42"/>
        <v>CDD:</v>
      </c>
      <c r="K564" s="295"/>
      <c r="L564" s="295"/>
      <c r="M564" s="296"/>
      <c r="N564" s="267" t="s">
        <v>429</v>
      </c>
      <c r="O564" s="295"/>
      <c r="P564" s="295"/>
      <c r="Q564" s="296"/>
      <c r="R564" s="267" t="s">
        <v>431</v>
      </c>
      <c r="S564" s="297"/>
      <c r="T564" s="297"/>
      <c r="U564" s="243"/>
    </row>
    <row r="565" spans="1:38">
      <c r="A565" s="9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43"/>
    </row>
    <row r="566" spans="1:38" ht="28.5">
      <c r="A566" s="9">
        <f>A552+1</f>
        <v>41</v>
      </c>
      <c r="B566" s="282" t="s">
        <v>376</v>
      </c>
      <c r="C566" s="287" t="s">
        <v>435</v>
      </c>
      <c r="D566" s="287"/>
      <c r="E566" s="287"/>
      <c r="F566" s="249" t="s">
        <v>378</v>
      </c>
      <c r="G566" s="288" t="s">
        <v>379</v>
      </c>
      <c r="H566" s="289">
        <v>1</v>
      </c>
      <c r="I566" s="289"/>
      <c r="J566" s="249" t="s">
        <v>378</v>
      </c>
      <c r="K566" s="290" t="str">
        <f>IF(AND(G567="December",H567=31)," ",IF(VLOOKUP(G567,D!$G$5:$I$16,3,0)=H567,LOOKUP(VLOOKUP(G567,D!$G$4:$H$16,2,0)+1,D!$H$4:$H$16,D!$G$4:$G$16),G567))</f>
        <v>January</v>
      </c>
      <c r="L566" s="289">
        <f>IF(K566=" "," ",IF(K566=G567,H567+1,1))</f>
        <v>29</v>
      </c>
      <c r="M566" s="289"/>
      <c r="N566" s="249" t="s">
        <v>378</v>
      </c>
      <c r="O566" s="288" t="str">
        <f>IF(OR(K567=" ",AND(K567="December",L567=31))," ",IF(VLOOKUP(K567,D!$G$5:$I$16,3,0)=L567,LOOKUP(VLOOKUP(K567,D!$G$4:$H$16,2,0)+1,D!$H$4:$H$16,D!$G$4:$G$16),K567))</f>
        <v>June</v>
      </c>
      <c r="P566" s="289">
        <f>IF(O566=" "," ",IF(O566=K567,L567+1,1))</f>
        <v>9</v>
      </c>
      <c r="Q566" s="289"/>
      <c r="R566" s="249" t="s">
        <v>378</v>
      </c>
      <c r="S566" s="288" t="str">
        <f>IF(OR(O567=" ",AND(O567="December",P567=31))," ",IF(VLOOKUP(O567,D!$G$5:$I$16,3,0)=P567,LOOKUP(VLOOKUP(O567,D!$G$4:$H$16,2,0)+1,D!$H$4:$H$16,D!$G$4:$G$16),O567))</f>
        <v>September</v>
      </c>
      <c r="T566" s="289">
        <f>IF(S566=" "," ",IF(S566=O567,P567+1,1))</f>
        <v>9</v>
      </c>
      <c r="U566" s="243"/>
    </row>
    <row r="567" spans="1:38" ht="28.5">
      <c r="A567" s="9"/>
      <c r="B567" s="282"/>
      <c r="C567" s="287"/>
      <c r="D567" s="287"/>
      <c r="E567" s="287"/>
      <c r="F567" s="255" t="s">
        <v>380</v>
      </c>
      <c r="G567" s="291" t="s">
        <v>379</v>
      </c>
      <c r="H567" s="292">
        <v>28</v>
      </c>
      <c r="I567" s="292"/>
      <c r="J567" s="255" t="s">
        <v>380</v>
      </c>
      <c r="K567" s="291" t="s">
        <v>383</v>
      </c>
      <c r="L567" s="292">
        <v>8</v>
      </c>
      <c r="M567" s="292"/>
      <c r="N567" s="255" t="s">
        <v>380</v>
      </c>
      <c r="O567" s="291" t="s">
        <v>436</v>
      </c>
      <c r="P567" s="292">
        <v>8</v>
      </c>
      <c r="Q567" s="292"/>
      <c r="R567" s="255" t="s">
        <v>380</v>
      </c>
      <c r="S567" s="291" t="s">
        <v>384</v>
      </c>
      <c r="T567" s="292">
        <v>31</v>
      </c>
      <c r="U567" s="243"/>
      <c r="X567" s="273"/>
      <c r="Y567" s="273"/>
      <c r="Z567" s="273"/>
      <c r="AB567" s="273"/>
      <c r="AC567" s="273"/>
      <c r="AD567" s="273"/>
      <c r="AF567" s="273"/>
      <c r="AG567" s="273"/>
      <c r="AH567" s="273"/>
      <c r="AJ567" s="273"/>
      <c r="AK567" s="273"/>
      <c r="AL567" s="273"/>
    </row>
    <row r="568" spans="1:38">
      <c r="A568" s="9"/>
      <c r="B568" s="260"/>
      <c r="C568" s="293" t="s">
        <v>395</v>
      </c>
      <c r="D568" s="294"/>
      <c r="E568" s="294"/>
      <c r="F568" s="262"/>
      <c r="G568" s="263" t="str">
        <f>IF(OR(H567&gt;VLOOKUP(G567,D!$G$4:$I$16,3,0),AND(G567=G566,H567&lt;=H566),VLOOKUP(G567,D!$G$4:$H$16,2,0)&lt;VLOOKUP(G566,D!$G$4:$H$16,2,0)),"Must correct date!","")</f>
        <v/>
      </c>
      <c r="H568" s="263"/>
      <c r="J568" s="262"/>
      <c r="K568" s="263" t="str">
        <f>IF(AND(K567=" ",K566=" "),"",IF(OR(L567&gt;VLOOKUP(K567,D!$G$4:$I$16,3,0),AND(K567=K566,L567&lt;=L566),VLOOKUP(K567,D!$G$4:$H$16,2,0)&lt;VLOOKUP(K566,D!$G$4:$H$16,2,0)),"Must correct date!",""))</f>
        <v/>
      </c>
      <c r="L568" s="263"/>
      <c r="N568" s="262"/>
      <c r="O568" s="263" t="str">
        <f>IF(AND(O567=" ",O566=" "),"",IF(OR(P567&gt;VLOOKUP(O567,D!$G$4:$I$16,3,0),AND(O567=O566,P567&lt;=P566),VLOOKUP(O567,D!$G$4:$H$16,2,0)&lt;VLOOKUP(O566,D!$G$4:$H$16,2,0)),"Must correct date!",""))</f>
        <v/>
      </c>
      <c r="P568" s="263"/>
      <c r="R568" s="262"/>
      <c r="S568" s="265" t="str">
        <f>IF(AND(S567=" ",S566=" "),"",IF(OR(T567&gt;VLOOKUP(S567,D!$G$4:$I$16,3,0),AND(S567=S566,T567&lt;=T566),VLOOKUP(S567,D!$G$4:$H$16,2,0)&lt;VLOOKUP(S566,D!$G$4:$H$16,2,0)),"Must correct date!",""))</f>
        <v/>
      </c>
      <c r="T568" s="265"/>
      <c r="U568" s="243"/>
      <c r="X568" s="273"/>
      <c r="Y568" s="273"/>
      <c r="Z568" s="273"/>
      <c r="AB568" s="273"/>
      <c r="AC568" s="273"/>
      <c r="AD568" s="273"/>
      <c r="AF568" s="273"/>
      <c r="AG568" s="273"/>
      <c r="AH568" s="273"/>
      <c r="AJ568" s="273"/>
      <c r="AK568" s="273"/>
      <c r="AL568" s="273"/>
    </row>
    <row r="569" spans="1:38">
      <c r="A569" s="9"/>
      <c r="B569" s="260"/>
      <c r="C569" s="293"/>
      <c r="D569" s="294"/>
      <c r="E569" s="294"/>
      <c r="F569" s="267" t="s">
        <v>389</v>
      </c>
      <c r="G569" s="295" t="s">
        <v>437</v>
      </c>
      <c r="H569" s="295"/>
      <c r="I569" s="296"/>
      <c r="J569" s="267" t="str">
        <f t="shared" ref="J569:J578" si="43">$F569</f>
        <v>SUN:</v>
      </c>
      <c r="K569" s="295"/>
      <c r="L569" s="295"/>
      <c r="M569" s="296"/>
      <c r="N569" s="267" t="s">
        <v>389</v>
      </c>
      <c r="O569" s="295"/>
      <c r="P569" s="295"/>
      <c r="Q569" s="296"/>
      <c r="R569" s="267" t="s">
        <v>391</v>
      </c>
      <c r="S569" s="297"/>
      <c r="T569" s="297"/>
      <c r="U569" s="243"/>
      <c r="X569" s="273"/>
      <c r="Y569" s="273"/>
      <c r="Z569" s="273"/>
      <c r="AB569" s="273"/>
      <c r="AC569" s="273"/>
      <c r="AD569" s="273"/>
      <c r="AF569" s="273"/>
      <c r="AG569" s="273"/>
      <c r="AH569" s="273"/>
      <c r="AJ569" s="273"/>
      <c r="AK569" s="273"/>
      <c r="AL569" s="273"/>
    </row>
    <row r="570" spans="1:38">
      <c r="A570" s="9"/>
      <c r="B570" s="260"/>
      <c r="C570" s="293"/>
      <c r="D570" s="294"/>
      <c r="E570" s="294"/>
      <c r="F570" s="267" t="s">
        <v>396</v>
      </c>
      <c r="G570" s="295" t="s">
        <v>437</v>
      </c>
      <c r="H570" s="295"/>
      <c r="J570" s="267" t="str">
        <f t="shared" si="43"/>
        <v>MON:</v>
      </c>
      <c r="K570" s="295"/>
      <c r="L570" s="295"/>
      <c r="M570" s="296"/>
      <c r="N570" s="267" t="s">
        <v>396</v>
      </c>
      <c r="O570" s="295"/>
      <c r="P570" s="295"/>
      <c r="Q570" s="296"/>
      <c r="R570" s="267" t="s">
        <v>397</v>
      </c>
      <c r="S570" s="297"/>
      <c r="T570" s="297"/>
      <c r="U570" s="243"/>
      <c r="X570" s="273"/>
      <c r="Y570" s="273"/>
      <c r="Z570" s="273"/>
      <c r="AB570" s="273"/>
      <c r="AC570" s="273"/>
      <c r="AD570" s="273"/>
      <c r="AF570" s="273"/>
      <c r="AG570" s="273"/>
      <c r="AH570" s="273"/>
      <c r="AJ570" s="273"/>
      <c r="AK570" s="273"/>
      <c r="AL570" s="273"/>
    </row>
    <row r="571" spans="1:38" ht="28.5">
      <c r="A571" s="9"/>
      <c r="B571" s="260"/>
      <c r="C571" s="298" t="s">
        <v>387</v>
      </c>
      <c r="D571" s="294"/>
      <c r="E571" s="294"/>
      <c r="F571" s="267" t="s">
        <v>402</v>
      </c>
      <c r="G571" s="295" t="s">
        <v>437</v>
      </c>
      <c r="H571" s="295"/>
      <c r="J571" s="267" t="str">
        <f t="shared" si="43"/>
        <v>TUE:</v>
      </c>
      <c r="K571" s="295"/>
      <c r="L571" s="295"/>
      <c r="M571" s="296"/>
      <c r="N571" s="267" t="s">
        <v>402</v>
      </c>
      <c r="O571" s="295"/>
      <c r="P571" s="295"/>
      <c r="Q571" s="296"/>
      <c r="R571" s="267" t="s">
        <v>403</v>
      </c>
      <c r="S571" s="297"/>
      <c r="T571" s="297"/>
      <c r="U571" s="243"/>
      <c r="X571" s="273"/>
      <c r="Y571" s="273"/>
      <c r="Z571" s="273"/>
      <c r="AB571" s="273"/>
      <c r="AC571" s="273"/>
      <c r="AD571" s="273"/>
      <c r="AF571" s="273"/>
      <c r="AG571" s="273"/>
      <c r="AH571" s="273"/>
      <c r="AJ571" s="273"/>
      <c r="AK571" s="273"/>
      <c r="AL571" s="273"/>
    </row>
    <row r="572" spans="1:38">
      <c r="A572" s="9"/>
      <c r="B572" s="260"/>
      <c r="C572" s="298"/>
      <c r="D572" s="294"/>
      <c r="E572" s="294"/>
      <c r="F572" s="267" t="s">
        <v>407</v>
      </c>
      <c r="G572" s="295" t="s">
        <v>437</v>
      </c>
      <c r="H572" s="295"/>
      <c r="J572" s="267" t="str">
        <f t="shared" si="43"/>
        <v>WED:</v>
      </c>
      <c r="K572" s="295"/>
      <c r="L572" s="295"/>
      <c r="M572" s="296"/>
      <c r="N572" s="267" t="s">
        <v>407</v>
      </c>
      <c r="O572" s="295"/>
      <c r="P572" s="295"/>
      <c r="Q572" s="296"/>
      <c r="R572" s="267" t="s">
        <v>408</v>
      </c>
      <c r="S572" s="297"/>
      <c r="T572" s="297"/>
      <c r="U572" s="243"/>
      <c r="X572" s="273"/>
      <c r="Y572" s="273"/>
      <c r="Z572" s="273"/>
      <c r="AB572" s="273"/>
      <c r="AC572" s="273"/>
      <c r="AD572" s="273"/>
      <c r="AF572" s="273"/>
      <c r="AG572" s="273"/>
      <c r="AH572" s="273"/>
      <c r="AJ572" s="273"/>
      <c r="AK572" s="273"/>
      <c r="AL572" s="273"/>
    </row>
    <row r="573" spans="1:38" ht="24">
      <c r="A573" s="9"/>
      <c r="B573" s="260"/>
      <c r="C573" s="274" t="s">
        <v>410</v>
      </c>
      <c r="D573" s="294"/>
      <c r="E573" s="294"/>
      <c r="F573" s="267" t="s">
        <v>411</v>
      </c>
      <c r="G573" s="295" t="s">
        <v>437</v>
      </c>
      <c r="H573" s="295"/>
      <c r="J573" s="267" t="str">
        <f t="shared" si="43"/>
        <v>THU:</v>
      </c>
      <c r="K573" s="295"/>
      <c r="L573" s="295"/>
      <c r="M573" s="296"/>
      <c r="N573" s="267" t="s">
        <v>411</v>
      </c>
      <c r="O573" s="295"/>
      <c r="P573" s="295"/>
      <c r="Q573" s="296"/>
      <c r="R573" s="267" t="s">
        <v>412</v>
      </c>
      <c r="S573" s="297"/>
      <c r="T573" s="297"/>
      <c r="U573" s="243"/>
      <c r="X573" s="273"/>
      <c r="Y573" s="273"/>
      <c r="Z573" s="273"/>
      <c r="AB573" s="273"/>
      <c r="AC573" s="273"/>
      <c r="AD573" s="273"/>
      <c r="AF573" s="273"/>
      <c r="AG573" s="273"/>
      <c r="AH573" s="273"/>
      <c r="AJ573" s="273"/>
      <c r="AK573" s="273"/>
      <c r="AL573" s="273"/>
    </row>
    <row r="574" spans="1:38">
      <c r="A574" s="9"/>
      <c r="B574" s="260"/>
      <c r="C574" s="274"/>
      <c r="D574" s="294"/>
      <c r="E574" s="294"/>
      <c r="F574" s="267" t="s">
        <v>414</v>
      </c>
      <c r="G574" s="295" t="s">
        <v>437</v>
      </c>
      <c r="H574" s="295"/>
      <c r="J574" s="267" t="str">
        <f t="shared" si="43"/>
        <v>FRI:</v>
      </c>
      <c r="K574" s="295"/>
      <c r="L574" s="295"/>
      <c r="M574" s="296"/>
      <c r="N574" s="267" t="s">
        <v>414</v>
      </c>
      <c r="O574" s="295"/>
      <c r="P574" s="295"/>
      <c r="Q574" s="296"/>
      <c r="R574" s="267" t="s">
        <v>415</v>
      </c>
      <c r="S574" s="297"/>
      <c r="T574" s="297"/>
      <c r="U574" s="243"/>
      <c r="X574" s="273"/>
      <c r="Y574" s="273"/>
      <c r="Z574" s="273"/>
      <c r="AB574" s="273"/>
      <c r="AC574" s="273"/>
      <c r="AD574" s="273"/>
      <c r="AF574" s="273"/>
      <c r="AG574" s="273"/>
      <c r="AH574" s="273"/>
      <c r="AJ574" s="273"/>
      <c r="AK574" s="273"/>
      <c r="AL574" s="273"/>
    </row>
    <row r="575" spans="1:38">
      <c r="A575" s="9"/>
      <c r="B575" s="260"/>
      <c r="C575" s="238" t="str">
        <f>IF(AND(C571="Other",OR(D575=" ",D575="")),"Select Type →",IF(AND(NOT(C571="Other"),AND(NOT(D575=" "),NOT(D575=""))),"Deselect Type→",VLOOKUP(C571,$BL$6:$BM$19,2,0)))</f>
        <v>On/Off</v>
      </c>
      <c r="D575" s="299"/>
      <c r="E575" s="299"/>
      <c r="F575" s="267" t="s">
        <v>418</v>
      </c>
      <c r="G575" s="295" t="s">
        <v>437</v>
      </c>
      <c r="H575" s="295"/>
      <c r="J575" s="267" t="str">
        <f t="shared" si="43"/>
        <v>SAT:</v>
      </c>
      <c r="K575" s="295"/>
      <c r="L575" s="295"/>
      <c r="M575" s="296"/>
      <c r="N575" s="267" t="s">
        <v>418</v>
      </c>
      <c r="O575" s="295"/>
      <c r="P575" s="295"/>
      <c r="Q575" s="296"/>
      <c r="R575" s="267" t="s">
        <v>419</v>
      </c>
      <c r="S575" s="297"/>
      <c r="T575" s="297"/>
      <c r="U575" s="243"/>
      <c r="X575" s="273"/>
      <c r="Y575" s="273"/>
      <c r="Z575" s="273"/>
      <c r="AB575" s="273"/>
      <c r="AC575" s="273"/>
      <c r="AD575" s="273"/>
      <c r="AF575" s="273"/>
      <c r="AG575" s="273"/>
      <c r="AH575" s="273"/>
      <c r="AJ575" s="273"/>
      <c r="AK575" s="273"/>
      <c r="AL575" s="273"/>
    </row>
    <row r="576" spans="1:38">
      <c r="A576" s="9"/>
      <c r="B576" s="260"/>
      <c r="C576" s="238"/>
      <c r="D576" s="299"/>
      <c r="E576" s="299"/>
      <c r="F576" s="267" t="s">
        <v>421</v>
      </c>
      <c r="G576" s="295" t="s">
        <v>437</v>
      </c>
      <c r="H576" s="295"/>
      <c r="J576" s="267" t="str">
        <f t="shared" si="43"/>
        <v>HOL:</v>
      </c>
      <c r="K576" s="295"/>
      <c r="L576" s="295"/>
      <c r="M576" s="296"/>
      <c r="N576" s="267" t="s">
        <v>421</v>
      </c>
      <c r="O576" s="295"/>
      <c r="P576" s="295"/>
      <c r="Q576" s="296"/>
      <c r="R576" s="267" t="s">
        <v>391</v>
      </c>
      <c r="S576" s="297"/>
      <c r="T576" s="297"/>
      <c r="U576" s="243"/>
      <c r="X576" s="273"/>
      <c r="Y576" s="273"/>
      <c r="Z576" s="273"/>
      <c r="AB576" s="273"/>
      <c r="AC576" s="273"/>
      <c r="AD576" s="273"/>
      <c r="AF576" s="273"/>
      <c r="AG576" s="273"/>
      <c r="AH576" s="273"/>
      <c r="AJ576" s="273"/>
      <c r="AK576" s="273"/>
      <c r="AL576" s="273"/>
    </row>
    <row r="577" spans="1:38">
      <c r="A577" s="9"/>
      <c r="B577" s="260"/>
      <c r="C577" s="300"/>
      <c r="D577" s="300"/>
      <c r="E577" s="300"/>
      <c r="F577" s="267" t="s">
        <v>424</v>
      </c>
      <c r="G577" s="295" t="s">
        <v>438</v>
      </c>
      <c r="H577" s="295"/>
      <c r="J577" s="267" t="str">
        <f t="shared" si="43"/>
        <v>HDD:</v>
      </c>
      <c r="K577" s="295"/>
      <c r="L577" s="295"/>
      <c r="M577" s="296"/>
      <c r="N577" s="267" t="s">
        <v>424</v>
      </c>
      <c r="O577" s="295"/>
      <c r="P577" s="295"/>
      <c r="Q577" s="296"/>
      <c r="R577" s="267" t="s">
        <v>426</v>
      </c>
      <c r="S577" s="297"/>
      <c r="T577" s="297"/>
      <c r="U577" s="243"/>
    </row>
    <row r="578" spans="1:38">
      <c r="A578" s="9"/>
      <c r="B578" s="260"/>
      <c r="C578" s="300"/>
      <c r="D578" s="300"/>
      <c r="E578" s="300"/>
      <c r="F578" s="267" t="s">
        <v>429</v>
      </c>
      <c r="G578" s="295" t="s">
        <v>439</v>
      </c>
      <c r="H578" s="295"/>
      <c r="I578" s="296"/>
      <c r="J578" s="267" t="str">
        <f t="shared" si="43"/>
        <v>CDD:</v>
      </c>
      <c r="K578" s="295"/>
      <c r="L578" s="295"/>
      <c r="M578" s="296"/>
      <c r="N578" s="267" t="s">
        <v>429</v>
      </c>
      <c r="O578" s="295"/>
      <c r="P578" s="295"/>
      <c r="Q578" s="296"/>
      <c r="R578" s="267" t="s">
        <v>431</v>
      </c>
      <c r="S578" s="297"/>
      <c r="T578" s="297"/>
      <c r="U578" s="243"/>
    </row>
    <row r="579" spans="1:38">
      <c r="A579" s="9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43"/>
    </row>
    <row r="580" spans="1:38" ht="28.5">
      <c r="A580" s="9">
        <f>A566+1</f>
        <v>42</v>
      </c>
      <c r="B580" s="282" t="s">
        <v>376</v>
      </c>
      <c r="C580" s="287" t="s">
        <v>435</v>
      </c>
      <c r="D580" s="287"/>
      <c r="E580" s="287"/>
      <c r="F580" s="249" t="s">
        <v>378</v>
      </c>
      <c r="G580" s="288" t="s">
        <v>379</v>
      </c>
      <c r="H580" s="289">
        <v>1</v>
      </c>
      <c r="I580" s="289"/>
      <c r="J580" s="249" t="s">
        <v>378</v>
      </c>
      <c r="K580" s="290" t="str">
        <f>IF(AND(G581="December",H581=31)," ",IF(VLOOKUP(G581,D!$G$5:$I$16,3,0)=H581,LOOKUP(VLOOKUP(G581,D!$G$4:$H$16,2,0)+1,D!$H$4:$H$16,D!$G$4:$G$16),G581))</f>
        <v>January</v>
      </c>
      <c r="L580" s="289">
        <f>IF(K580=" "," ",IF(K580=G581,H581+1,1))</f>
        <v>29</v>
      </c>
      <c r="M580" s="289"/>
      <c r="N580" s="249" t="s">
        <v>378</v>
      </c>
      <c r="O580" s="288" t="str">
        <f>IF(OR(K581=" ",AND(K581="December",L581=31))," ",IF(VLOOKUP(K581,D!$G$5:$I$16,3,0)=L581,LOOKUP(VLOOKUP(K581,D!$G$4:$H$16,2,0)+1,D!$H$4:$H$16,D!$G$4:$G$16),K581))</f>
        <v>June</v>
      </c>
      <c r="P580" s="289">
        <f>IF(O580=" "," ",IF(O580=K581,L581+1,1))</f>
        <v>9</v>
      </c>
      <c r="Q580" s="289"/>
      <c r="R580" s="249" t="s">
        <v>378</v>
      </c>
      <c r="S580" s="288" t="str">
        <f>IF(OR(O581=" ",AND(O581="December",P581=31))," ",IF(VLOOKUP(O581,D!$G$5:$I$16,3,0)=P581,LOOKUP(VLOOKUP(O581,D!$G$4:$H$16,2,0)+1,D!$H$4:$H$16,D!$G$4:$G$16),O581))</f>
        <v>September</v>
      </c>
      <c r="T580" s="289">
        <f>IF(S580=" "," ",IF(S580=O581,P581+1,1))</f>
        <v>9</v>
      </c>
      <c r="U580" s="243"/>
    </row>
    <row r="581" spans="1:38" ht="28.5">
      <c r="A581" s="9"/>
      <c r="B581" s="282"/>
      <c r="C581" s="287"/>
      <c r="D581" s="287"/>
      <c r="E581" s="287"/>
      <c r="F581" s="255" t="s">
        <v>380</v>
      </c>
      <c r="G581" s="291" t="s">
        <v>379</v>
      </c>
      <c r="H581" s="292">
        <v>28</v>
      </c>
      <c r="I581" s="292"/>
      <c r="J581" s="255" t="s">
        <v>380</v>
      </c>
      <c r="K581" s="291" t="s">
        <v>383</v>
      </c>
      <c r="L581" s="292">
        <v>8</v>
      </c>
      <c r="M581" s="292"/>
      <c r="N581" s="255" t="s">
        <v>380</v>
      </c>
      <c r="O581" s="291" t="s">
        <v>436</v>
      </c>
      <c r="P581" s="292">
        <v>8</v>
      </c>
      <c r="Q581" s="292"/>
      <c r="R581" s="255" t="s">
        <v>380</v>
      </c>
      <c r="S581" s="291" t="s">
        <v>384</v>
      </c>
      <c r="T581" s="292">
        <v>31</v>
      </c>
      <c r="U581" s="243"/>
      <c r="X581" s="273"/>
      <c r="Y581" s="273"/>
      <c r="Z581" s="273"/>
      <c r="AB581" s="273"/>
      <c r="AC581" s="273"/>
      <c r="AD581" s="273"/>
      <c r="AF581" s="273"/>
      <c r="AG581" s="273"/>
      <c r="AH581" s="273"/>
      <c r="AJ581" s="273"/>
      <c r="AK581" s="273"/>
      <c r="AL581" s="273"/>
    </row>
    <row r="582" spans="1:38">
      <c r="A582" s="9"/>
      <c r="B582" s="260"/>
      <c r="C582" s="293" t="s">
        <v>395</v>
      </c>
      <c r="D582" s="294"/>
      <c r="E582" s="294"/>
      <c r="F582" s="262"/>
      <c r="G582" s="263" t="str">
        <f>IF(OR(H581&gt;VLOOKUP(G581,D!$G$4:$I$16,3,0),AND(G581=G580,H581&lt;=H580),VLOOKUP(G581,D!$G$4:$H$16,2,0)&lt;VLOOKUP(G580,D!$G$4:$H$16,2,0)),"Must correct date!","")</f>
        <v/>
      </c>
      <c r="H582" s="263"/>
      <c r="J582" s="262"/>
      <c r="K582" s="263" t="str">
        <f>IF(AND(K581=" ",K580=" "),"",IF(OR(L581&gt;VLOOKUP(K581,D!$G$4:$I$16,3,0),AND(K581=K580,L581&lt;=L580),VLOOKUP(K581,D!$G$4:$H$16,2,0)&lt;VLOOKUP(K580,D!$G$4:$H$16,2,0)),"Must correct date!",""))</f>
        <v/>
      </c>
      <c r="L582" s="263"/>
      <c r="N582" s="262"/>
      <c r="O582" s="263" t="str">
        <f>IF(AND(O581=" ",O580=" "),"",IF(OR(P581&gt;VLOOKUP(O581,D!$G$4:$I$16,3,0),AND(O581=O580,P581&lt;=P580),VLOOKUP(O581,D!$G$4:$H$16,2,0)&lt;VLOOKUP(O580,D!$G$4:$H$16,2,0)),"Must correct date!",""))</f>
        <v/>
      </c>
      <c r="P582" s="263"/>
      <c r="R582" s="262"/>
      <c r="S582" s="265" t="str">
        <f>IF(AND(S581=" ",S580=" "),"",IF(OR(T581&gt;VLOOKUP(S581,D!$G$4:$I$16,3,0),AND(S581=S580,T581&lt;=T580),VLOOKUP(S581,D!$G$4:$H$16,2,0)&lt;VLOOKUP(S580,D!$G$4:$H$16,2,0)),"Must correct date!",""))</f>
        <v/>
      </c>
      <c r="T582" s="265"/>
      <c r="U582" s="243"/>
      <c r="X582" s="273"/>
      <c r="Y582" s="273"/>
      <c r="Z582" s="273"/>
      <c r="AB582" s="273"/>
      <c r="AC582" s="273"/>
      <c r="AD582" s="273"/>
      <c r="AF582" s="273"/>
      <c r="AG582" s="273"/>
      <c r="AH582" s="273"/>
      <c r="AJ582" s="273"/>
      <c r="AK582" s="273"/>
      <c r="AL582" s="273"/>
    </row>
    <row r="583" spans="1:38">
      <c r="A583" s="9"/>
      <c r="B583" s="260"/>
      <c r="C583" s="293"/>
      <c r="D583" s="294"/>
      <c r="E583" s="294"/>
      <c r="F583" s="267" t="s">
        <v>389</v>
      </c>
      <c r="G583" s="295" t="s">
        <v>437</v>
      </c>
      <c r="H583" s="295"/>
      <c r="I583" s="296"/>
      <c r="J583" s="267" t="str">
        <f t="shared" ref="J583:J592" si="44">$F583</f>
        <v>SUN:</v>
      </c>
      <c r="K583" s="295"/>
      <c r="L583" s="295"/>
      <c r="M583" s="296"/>
      <c r="N583" s="267" t="s">
        <v>389</v>
      </c>
      <c r="O583" s="295"/>
      <c r="P583" s="295"/>
      <c r="Q583" s="296"/>
      <c r="R583" s="267" t="s">
        <v>391</v>
      </c>
      <c r="S583" s="297"/>
      <c r="T583" s="297"/>
      <c r="U583" s="243"/>
      <c r="X583" s="273"/>
      <c r="Y583" s="273"/>
      <c r="Z583" s="273"/>
      <c r="AB583" s="273"/>
      <c r="AC583" s="273"/>
      <c r="AD583" s="273"/>
      <c r="AF583" s="273"/>
      <c r="AG583" s="273"/>
      <c r="AH583" s="273"/>
      <c r="AJ583" s="273"/>
      <c r="AK583" s="273"/>
      <c r="AL583" s="273"/>
    </row>
    <row r="584" spans="1:38">
      <c r="A584" s="9"/>
      <c r="B584" s="260"/>
      <c r="C584" s="293"/>
      <c r="D584" s="294"/>
      <c r="E584" s="294"/>
      <c r="F584" s="267" t="s">
        <v>396</v>
      </c>
      <c r="G584" s="295" t="s">
        <v>437</v>
      </c>
      <c r="H584" s="295"/>
      <c r="J584" s="267" t="str">
        <f t="shared" si="44"/>
        <v>MON:</v>
      </c>
      <c r="K584" s="295"/>
      <c r="L584" s="295"/>
      <c r="M584" s="296"/>
      <c r="N584" s="267" t="s">
        <v>396</v>
      </c>
      <c r="O584" s="295"/>
      <c r="P584" s="295"/>
      <c r="Q584" s="296"/>
      <c r="R584" s="267" t="s">
        <v>397</v>
      </c>
      <c r="S584" s="297"/>
      <c r="T584" s="297"/>
      <c r="U584" s="243"/>
      <c r="X584" s="273"/>
      <c r="Y584" s="273"/>
      <c r="Z584" s="273"/>
      <c r="AB584" s="273"/>
      <c r="AC584" s="273"/>
      <c r="AD584" s="273"/>
      <c r="AF584" s="273"/>
      <c r="AG584" s="273"/>
      <c r="AH584" s="273"/>
      <c r="AJ584" s="273"/>
      <c r="AK584" s="273"/>
      <c r="AL584" s="273"/>
    </row>
    <row r="585" spans="1:38" ht="28.5">
      <c r="A585" s="9"/>
      <c r="B585" s="260"/>
      <c r="C585" s="298" t="s">
        <v>387</v>
      </c>
      <c r="D585" s="294"/>
      <c r="E585" s="294"/>
      <c r="F585" s="267" t="s">
        <v>402</v>
      </c>
      <c r="G585" s="295" t="s">
        <v>437</v>
      </c>
      <c r="H585" s="295"/>
      <c r="J585" s="267" t="str">
        <f t="shared" si="44"/>
        <v>TUE:</v>
      </c>
      <c r="K585" s="295"/>
      <c r="L585" s="295"/>
      <c r="M585" s="296"/>
      <c r="N585" s="267" t="s">
        <v>402</v>
      </c>
      <c r="O585" s="295"/>
      <c r="P585" s="295"/>
      <c r="Q585" s="296"/>
      <c r="R585" s="267" t="s">
        <v>403</v>
      </c>
      <c r="S585" s="297"/>
      <c r="T585" s="297"/>
      <c r="U585" s="243"/>
      <c r="X585" s="273"/>
      <c r="Y585" s="273"/>
      <c r="Z585" s="273"/>
      <c r="AB585" s="273"/>
      <c r="AC585" s="273"/>
      <c r="AD585" s="273"/>
      <c r="AF585" s="273"/>
      <c r="AG585" s="273"/>
      <c r="AH585" s="273"/>
      <c r="AJ585" s="273"/>
      <c r="AK585" s="273"/>
      <c r="AL585" s="273"/>
    </row>
    <row r="586" spans="1:38">
      <c r="A586" s="9"/>
      <c r="B586" s="260"/>
      <c r="C586" s="298"/>
      <c r="D586" s="294"/>
      <c r="E586" s="294"/>
      <c r="F586" s="267" t="s">
        <v>407</v>
      </c>
      <c r="G586" s="295" t="s">
        <v>437</v>
      </c>
      <c r="H586" s="295"/>
      <c r="J586" s="267" t="str">
        <f t="shared" si="44"/>
        <v>WED:</v>
      </c>
      <c r="K586" s="295"/>
      <c r="L586" s="295"/>
      <c r="M586" s="296"/>
      <c r="N586" s="267" t="s">
        <v>407</v>
      </c>
      <c r="O586" s="295"/>
      <c r="P586" s="295"/>
      <c r="Q586" s="296"/>
      <c r="R586" s="267" t="s">
        <v>408</v>
      </c>
      <c r="S586" s="297"/>
      <c r="T586" s="297"/>
      <c r="U586" s="243"/>
      <c r="X586" s="273"/>
      <c r="Y586" s="273"/>
      <c r="Z586" s="273"/>
      <c r="AB586" s="273"/>
      <c r="AC586" s="273"/>
      <c r="AD586" s="273"/>
      <c r="AF586" s="273"/>
      <c r="AG586" s="273"/>
      <c r="AH586" s="273"/>
      <c r="AJ586" s="273"/>
      <c r="AK586" s="273"/>
      <c r="AL586" s="273"/>
    </row>
    <row r="587" spans="1:38" ht="24">
      <c r="A587" s="9"/>
      <c r="B587" s="260"/>
      <c r="C587" s="274" t="s">
        <v>410</v>
      </c>
      <c r="D587" s="294"/>
      <c r="E587" s="294"/>
      <c r="F587" s="267" t="s">
        <v>411</v>
      </c>
      <c r="G587" s="295" t="s">
        <v>437</v>
      </c>
      <c r="H587" s="295"/>
      <c r="J587" s="267" t="str">
        <f t="shared" si="44"/>
        <v>THU:</v>
      </c>
      <c r="K587" s="295"/>
      <c r="L587" s="295"/>
      <c r="M587" s="296"/>
      <c r="N587" s="267" t="s">
        <v>411</v>
      </c>
      <c r="O587" s="295"/>
      <c r="P587" s="295"/>
      <c r="Q587" s="296"/>
      <c r="R587" s="267" t="s">
        <v>412</v>
      </c>
      <c r="S587" s="297"/>
      <c r="T587" s="297"/>
      <c r="U587" s="243"/>
      <c r="X587" s="273"/>
      <c r="Y587" s="273"/>
      <c r="Z587" s="273"/>
      <c r="AB587" s="273"/>
      <c r="AC587" s="273"/>
      <c r="AD587" s="273"/>
      <c r="AF587" s="273"/>
      <c r="AG587" s="273"/>
      <c r="AH587" s="273"/>
      <c r="AJ587" s="273"/>
      <c r="AK587" s="273"/>
      <c r="AL587" s="273"/>
    </row>
    <row r="588" spans="1:38">
      <c r="A588" s="9"/>
      <c r="B588" s="260"/>
      <c r="C588" s="274"/>
      <c r="D588" s="294"/>
      <c r="E588" s="294"/>
      <c r="F588" s="267" t="s">
        <v>414</v>
      </c>
      <c r="G588" s="295" t="s">
        <v>437</v>
      </c>
      <c r="H588" s="295"/>
      <c r="J588" s="267" t="str">
        <f t="shared" si="44"/>
        <v>FRI:</v>
      </c>
      <c r="K588" s="295"/>
      <c r="L588" s="295"/>
      <c r="M588" s="296"/>
      <c r="N588" s="267" t="s">
        <v>414</v>
      </c>
      <c r="O588" s="295"/>
      <c r="P588" s="295"/>
      <c r="Q588" s="296"/>
      <c r="R588" s="267" t="s">
        <v>415</v>
      </c>
      <c r="S588" s="297"/>
      <c r="T588" s="297"/>
      <c r="U588" s="243"/>
      <c r="X588" s="273"/>
      <c r="Y588" s="273"/>
      <c r="Z588" s="273"/>
      <c r="AB588" s="273"/>
      <c r="AC588" s="273"/>
      <c r="AD588" s="273"/>
      <c r="AF588" s="273"/>
      <c r="AG588" s="273"/>
      <c r="AH588" s="273"/>
      <c r="AJ588" s="273"/>
      <c r="AK588" s="273"/>
      <c r="AL588" s="273"/>
    </row>
    <row r="589" spans="1:38">
      <c r="A589" s="9"/>
      <c r="B589" s="260"/>
      <c r="C589" s="238" t="str">
        <f>IF(AND(C585="Other",OR(D589=" ",D589="")),"Select Type →",IF(AND(NOT(C585="Other"),AND(NOT(D589=" "),NOT(D589=""))),"Deselect Type→",VLOOKUP(C585,$BL$6:$BM$19,2,0)))</f>
        <v>On/Off</v>
      </c>
      <c r="D589" s="299"/>
      <c r="E589" s="299"/>
      <c r="F589" s="267" t="s">
        <v>418</v>
      </c>
      <c r="G589" s="295" t="s">
        <v>437</v>
      </c>
      <c r="H589" s="295"/>
      <c r="J589" s="267" t="str">
        <f t="shared" si="44"/>
        <v>SAT:</v>
      </c>
      <c r="K589" s="295"/>
      <c r="L589" s="295"/>
      <c r="M589" s="296"/>
      <c r="N589" s="267" t="s">
        <v>418</v>
      </c>
      <c r="O589" s="295"/>
      <c r="P589" s="295"/>
      <c r="Q589" s="296"/>
      <c r="R589" s="267" t="s">
        <v>419</v>
      </c>
      <c r="S589" s="297"/>
      <c r="T589" s="297"/>
      <c r="U589" s="243"/>
      <c r="X589" s="273"/>
      <c r="Y589" s="273"/>
      <c r="Z589" s="273"/>
      <c r="AB589" s="273"/>
      <c r="AC589" s="273"/>
      <c r="AD589" s="273"/>
      <c r="AF589" s="273"/>
      <c r="AG589" s="273"/>
      <c r="AH589" s="273"/>
      <c r="AJ589" s="273"/>
      <c r="AK589" s="273"/>
      <c r="AL589" s="273"/>
    </row>
    <row r="590" spans="1:38">
      <c r="A590" s="9"/>
      <c r="B590" s="260"/>
      <c r="C590" s="238"/>
      <c r="D590" s="299"/>
      <c r="E590" s="299"/>
      <c r="F590" s="267" t="s">
        <v>421</v>
      </c>
      <c r="G590" s="295" t="s">
        <v>437</v>
      </c>
      <c r="H590" s="295"/>
      <c r="J590" s="267" t="str">
        <f t="shared" si="44"/>
        <v>HOL:</v>
      </c>
      <c r="K590" s="295"/>
      <c r="L590" s="295"/>
      <c r="M590" s="296"/>
      <c r="N590" s="267" t="s">
        <v>421</v>
      </c>
      <c r="O590" s="295"/>
      <c r="P590" s="295"/>
      <c r="Q590" s="296"/>
      <c r="R590" s="267" t="s">
        <v>391</v>
      </c>
      <c r="S590" s="297"/>
      <c r="T590" s="297"/>
      <c r="U590" s="243"/>
      <c r="X590" s="273"/>
      <c r="Y590" s="273"/>
      <c r="Z590" s="273"/>
      <c r="AB590" s="273"/>
      <c r="AC590" s="273"/>
      <c r="AD590" s="273"/>
      <c r="AF590" s="273"/>
      <c r="AG590" s="273"/>
      <c r="AH590" s="273"/>
      <c r="AJ590" s="273"/>
      <c r="AK590" s="273"/>
      <c r="AL590" s="273"/>
    </row>
    <row r="591" spans="1:38">
      <c r="A591" s="9"/>
      <c r="B591" s="260"/>
      <c r="C591" s="300"/>
      <c r="D591" s="300"/>
      <c r="E591" s="300"/>
      <c r="F591" s="267" t="s">
        <v>424</v>
      </c>
      <c r="G591" s="295" t="s">
        <v>438</v>
      </c>
      <c r="H591" s="295"/>
      <c r="J591" s="267" t="str">
        <f t="shared" si="44"/>
        <v>HDD:</v>
      </c>
      <c r="K591" s="295"/>
      <c r="L591" s="295"/>
      <c r="M591" s="296"/>
      <c r="N591" s="267" t="s">
        <v>424</v>
      </c>
      <c r="O591" s="295"/>
      <c r="P591" s="295"/>
      <c r="Q591" s="296"/>
      <c r="R591" s="267" t="s">
        <v>426</v>
      </c>
      <c r="S591" s="297"/>
      <c r="T591" s="297"/>
      <c r="U591" s="243"/>
    </row>
    <row r="592" spans="1:38">
      <c r="A592" s="9"/>
      <c r="B592" s="260"/>
      <c r="C592" s="300"/>
      <c r="D592" s="300"/>
      <c r="E592" s="300"/>
      <c r="F592" s="267" t="s">
        <v>429</v>
      </c>
      <c r="G592" s="295" t="s">
        <v>439</v>
      </c>
      <c r="H592" s="295"/>
      <c r="I592" s="296"/>
      <c r="J592" s="267" t="str">
        <f t="shared" si="44"/>
        <v>CDD:</v>
      </c>
      <c r="K592" s="295"/>
      <c r="L592" s="295"/>
      <c r="M592" s="296"/>
      <c r="N592" s="267" t="s">
        <v>429</v>
      </c>
      <c r="O592" s="295"/>
      <c r="P592" s="295"/>
      <c r="Q592" s="296"/>
      <c r="R592" s="267" t="s">
        <v>431</v>
      </c>
      <c r="S592" s="297"/>
      <c r="T592" s="297"/>
      <c r="U592" s="243"/>
    </row>
    <row r="593" spans="1:38">
      <c r="A593" s="9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43"/>
    </row>
    <row r="594" spans="1:38" ht="28.5">
      <c r="A594" s="9">
        <f>A580+1</f>
        <v>43</v>
      </c>
      <c r="B594" s="282" t="s">
        <v>376</v>
      </c>
      <c r="C594" s="287" t="s">
        <v>435</v>
      </c>
      <c r="D594" s="287"/>
      <c r="E594" s="287"/>
      <c r="F594" s="249" t="s">
        <v>378</v>
      </c>
      <c r="G594" s="288" t="s">
        <v>379</v>
      </c>
      <c r="H594" s="289">
        <v>1</v>
      </c>
      <c r="I594" s="289"/>
      <c r="J594" s="249" t="s">
        <v>378</v>
      </c>
      <c r="K594" s="290" t="str">
        <f>IF(AND(G595="December",H595=31)," ",IF(VLOOKUP(G595,D!$G$5:$I$16,3,0)=H595,LOOKUP(VLOOKUP(G595,D!$G$4:$H$16,2,0)+1,D!$H$4:$H$16,D!$G$4:$G$16),G595))</f>
        <v>January</v>
      </c>
      <c r="L594" s="289">
        <f>IF(K594=" "," ",IF(K594=G595,H595+1,1))</f>
        <v>29</v>
      </c>
      <c r="M594" s="289"/>
      <c r="N594" s="249" t="s">
        <v>378</v>
      </c>
      <c r="O594" s="288" t="str">
        <f>IF(OR(K595=" ",AND(K595="December",L595=31))," ",IF(VLOOKUP(K595,D!$G$5:$I$16,3,0)=L595,LOOKUP(VLOOKUP(K595,D!$G$4:$H$16,2,0)+1,D!$H$4:$H$16,D!$G$4:$G$16),K595))</f>
        <v>June</v>
      </c>
      <c r="P594" s="289">
        <f>IF(O594=" "," ",IF(O594=K595,L595+1,1))</f>
        <v>9</v>
      </c>
      <c r="Q594" s="289"/>
      <c r="R594" s="249" t="s">
        <v>378</v>
      </c>
      <c r="S594" s="288" t="str">
        <f>IF(OR(O595=" ",AND(O595="December",P595=31))," ",IF(VLOOKUP(O595,D!$G$5:$I$16,3,0)=P595,LOOKUP(VLOOKUP(O595,D!$G$4:$H$16,2,0)+1,D!$H$4:$H$16,D!$G$4:$G$16),O595))</f>
        <v>September</v>
      </c>
      <c r="T594" s="289">
        <f>IF(S594=" "," ",IF(S594=O595,P595+1,1))</f>
        <v>9</v>
      </c>
      <c r="U594" s="243"/>
    </row>
    <row r="595" spans="1:38" ht="28.5">
      <c r="A595" s="9"/>
      <c r="B595" s="282"/>
      <c r="C595" s="287"/>
      <c r="D595" s="287"/>
      <c r="E595" s="287"/>
      <c r="F595" s="255" t="s">
        <v>380</v>
      </c>
      <c r="G595" s="291" t="s">
        <v>379</v>
      </c>
      <c r="H595" s="292">
        <v>28</v>
      </c>
      <c r="I595" s="292"/>
      <c r="J595" s="255" t="s">
        <v>380</v>
      </c>
      <c r="K595" s="291" t="s">
        <v>383</v>
      </c>
      <c r="L595" s="292">
        <v>8</v>
      </c>
      <c r="M595" s="292"/>
      <c r="N595" s="255" t="s">
        <v>380</v>
      </c>
      <c r="O595" s="291" t="s">
        <v>436</v>
      </c>
      <c r="P595" s="292">
        <v>8</v>
      </c>
      <c r="Q595" s="292"/>
      <c r="R595" s="255" t="s">
        <v>380</v>
      </c>
      <c r="S595" s="291" t="s">
        <v>384</v>
      </c>
      <c r="T595" s="292">
        <v>31</v>
      </c>
      <c r="U595" s="243"/>
      <c r="X595" s="273"/>
      <c r="Y595" s="273"/>
      <c r="Z595" s="273"/>
      <c r="AB595" s="273"/>
      <c r="AC595" s="273"/>
      <c r="AD595" s="273"/>
      <c r="AF595" s="273"/>
      <c r="AG595" s="273"/>
      <c r="AH595" s="273"/>
      <c r="AJ595" s="273"/>
      <c r="AK595" s="273"/>
      <c r="AL595" s="273"/>
    </row>
    <row r="596" spans="1:38">
      <c r="A596" s="9"/>
      <c r="B596" s="260"/>
      <c r="C596" s="293" t="s">
        <v>395</v>
      </c>
      <c r="D596" s="294"/>
      <c r="E596" s="294"/>
      <c r="F596" s="262"/>
      <c r="G596" s="263" t="str">
        <f>IF(OR(H595&gt;VLOOKUP(G595,D!$G$4:$I$16,3,0),AND(G595=G594,H595&lt;=H594),VLOOKUP(G595,D!$G$4:$H$16,2,0)&lt;VLOOKUP(G594,D!$G$4:$H$16,2,0)),"Must correct date!","")</f>
        <v/>
      </c>
      <c r="H596" s="263"/>
      <c r="J596" s="262"/>
      <c r="K596" s="263" t="str">
        <f>IF(AND(K595=" ",K594=" "),"",IF(OR(L595&gt;VLOOKUP(K595,D!$G$4:$I$16,3,0),AND(K595=K594,L595&lt;=L594),VLOOKUP(K595,D!$G$4:$H$16,2,0)&lt;VLOOKUP(K594,D!$G$4:$H$16,2,0)),"Must correct date!",""))</f>
        <v/>
      </c>
      <c r="L596" s="263"/>
      <c r="N596" s="262"/>
      <c r="O596" s="263" t="str">
        <f>IF(AND(O595=" ",O594=" "),"",IF(OR(P595&gt;VLOOKUP(O595,D!$G$4:$I$16,3,0),AND(O595=O594,P595&lt;=P594),VLOOKUP(O595,D!$G$4:$H$16,2,0)&lt;VLOOKUP(O594,D!$G$4:$H$16,2,0)),"Must correct date!",""))</f>
        <v/>
      </c>
      <c r="P596" s="263"/>
      <c r="R596" s="262"/>
      <c r="S596" s="265" t="str">
        <f>IF(AND(S595=" ",S594=" "),"",IF(OR(T595&gt;VLOOKUP(S595,D!$G$4:$I$16,3,0),AND(S595=S594,T595&lt;=T594),VLOOKUP(S595,D!$G$4:$H$16,2,0)&lt;VLOOKUP(S594,D!$G$4:$H$16,2,0)),"Must correct date!",""))</f>
        <v/>
      </c>
      <c r="T596" s="265"/>
      <c r="U596" s="243"/>
      <c r="X596" s="273"/>
      <c r="Y596" s="273"/>
      <c r="Z596" s="273"/>
      <c r="AB596" s="273"/>
      <c r="AC596" s="273"/>
      <c r="AD596" s="273"/>
      <c r="AF596" s="273"/>
      <c r="AG596" s="273"/>
      <c r="AH596" s="273"/>
      <c r="AJ596" s="273"/>
      <c r="AK596" s="273"/>
      <c r="AL596" s="273"/>
    </row>
    <row r="597" spans="1:38">
      <c r="A597" s="9"/>
      <c r="B597" s="260"/>
      <c r="C597" s="293"/>
      <c r="D597" s="294"/>
      <c r="E597" s="294"/>
      <c r="F597" s="267" t="s">
        <v>389</v>
      </c>
      <c r="G597" s="295" t="s">
        <v>437</v>
      </c>
      <c r="H597" s="295"/>
      <c r="I597" s="296"/>
      <c r="J597" s="267" t="str">
        <f t="shared" ref="J597:J606" si="45">$F597</f>
        <v>SUN:</v>
      </c>
      <c r="K597" s="295"/>
      <c r="L597" s="295"/>
      <c r="M597" s="296"/>
      <c r="N597" s="267" t="s">
        <v>389</v>
      </c>
      <c r="O597" s="295"/>
      <c r="P597" s="295"/>
      <c r="Q597" s="296"/>
      <c r="R597" s="267" t="s">
        <v>391</v>
      </c>
      <c r="S597" s="297"/>
      <c r="T597" s="297"/>
      <c r="U597" s="243"/>
      <c r="X597" s="273"/>
      <c r="Y597" s="273"/>
      <c r="Z597" s="273"/>
      <c r="AB597" s="273"/>
      <c r="AC597" s="273"/>
      <c r="AD597" s="273"/>
      <c r="AF597" s="273"/>
      <c r="AG597" s="273"/>
      <c r="AH597" s="273"/>
      <c r="AJ597" s="273"/>
      <c r="AK597" s="273"/>
      <c r="AL597" s="273"/>
    </row>
    <row r="598" spans="1:38">
      <c r="A598" s="9"/>
      <c r="B598" s="260"/>
      <c r="C598" s="293"/>
      <c r="D598" s="294"/>
      <c r="E598" s="294"/>
      <c r="F598" s="267" t="s">
        <v>396</v>
      </c>
      <c r="G598" s="295" t="s">
        <v>437</v>
      </c>
      <c r="H598" s="295"/>
      <c r="J598" s="267" t="str">
        <f t="shared" si="45"/>
        <v>MON:</v>
      </c>
      <c r="K598" s="295"/>
      <c r="L598" s="295"/>
      <c r="M598" s="296"/>
      <c r="N598" s="267" t="s">
        <v>396</v>
      </c>
      <c r="O598" s="295"/>
      <c r="P598" s="295"/>
      <c r="Q598" s="296"/>
      <c r="R598" s="267" t="s">
        <v>397</v>
      </c>
      <c r="S598" s="297"/>
      <c r="T598" s="297"/>
      <c r="U598" s="243"/>
      <c r="X598" s="273"/>
      <c r="Y598" s="273"/>
      <c r="Z598" s="273"/>
      <c r="AB598" s="273"/>
      <c r="AC598" s="273"/>
      <c r="AD598" s="273"/>
      <c r="AF598" s="273"/>
      <c r="AG598" s="273"/>
      <c r="AH598" s="273"/>
      <c r="AJ598" s="273"/>
      <c r="AK598" s="273"/>
      <c r="AL598" s="273"/>
    </row>
    <row r="599" spans="1:38" ht="28.5">
      <c r="A599" s="9"/>
      <c r="B599" s="260"/>
      <c r="C599" s="298" t="s">
        <v>387</v>
      </c>
      <c r="D599" s="294"/>
      <c r="E599" s="294"/>
      <c r="F599" s="267" t="s">
        <v>402</v>
      </c>
      <c r="G599" s="295" t="s">
        <v>437</v>
      </c>
      <c r="H599" s="295"/>
      <c r="J599" s="267" t="str">
        <f t="shared" si="45"/>
        <v>TUE:</v>
      </c>
      <c r="K599" s="295"/>
      <c r="L599" s="295"/>
      <c r="M599" s="296"/>
      <c r="N599" s="267" t="s">
        <v>402</v>
      </c>
      <c r="O599" s="295"/>
      <c r="P599" s="295"/>
      <c r="Q599" s="296"/>
      <c r="R599" s="267" t="s">
        <v>403</v>
      </c>
      <c r="S599" s="297"/>
      <c r="T599" s="297"/>
      <c r="U599" s="243"/>
      <c r="X599" s="273"/>
      <c r="Y599" s="273"/>
      <c r="Z599" s="273"/>
      <c r="AB599" s="273"/>
      <c r="AC599" s="273"/>
      <c r="AD599" s="273"/>
      <c r="AF599" s="273"/>
      <c r="AG599" s="273"/>
      <c r="AH599" s="273"/>
      <c r="AJ599" s="273"/>
      <c r="AK599" s="273"/>
      <c r="AL599" s="273"/>
    </row>
    <row r="600" spans="1:38">
      <c r="A600" s="9"/>
      <c r="B600" s="260"/>
      <c r="C600" s="298"/>
      <c r="D600" s="294"/>
      <c r="E600" s="294"/>
      <c r="F600" s="267" t="s">
        <v>407</v>
      </c>
      <c r="G600" s="295" t="s">
        <v>437</v>
      </c>
      <c r="H600" s="295"/>
      <c r="J600" s="267" t="str">
        <f t="shared" si="45"/>
        <v>WED:</v>
      </c>
      <c r="K600" s="295"/>
      <c r="L600" s="295"/>
      <c r="M600" s="296"/>
      <c r="N600" s="267" t="s">
        <v>407</v>
      </c>
      <c r="O600" s="295"/>
      <c r="P600" s="295"/>
      <c r="Q600" s="296"/>
      <c r="R600" s="267" t="s">
        <v>408</v>
      </c>
      <c r="S600" s="297"/>
      <c r="T600" s="297"/>
      <c r="U600" s="243"/>
      <c r="X600" s="273"/>
      <c r="Y600" s="273"/>
      <c r="Z600" s="273"/>
      <c r="AB600" s="273"/>
      <c r="AC600" s="273"/>
      <c r="AD600" s="273"/>
      <c r="AF600" s="273"/>
      <c r="AG600" s="273"/>
      <c r="AH600" s="273"/>
      <c r="AJ600" s="273"/>
      <c r="AK600" s="273"/>
      <c r="AL600" s="273"/>
    </row>
    <row r="601" spans="1:38" ht="24">
      <c r="A601" s="9"/>
      <c r="B601" s="260"/>
      <c r="C601" s="274" t="s">
        <v>410</v>
      </c>
      <c r="D601" s="294"/>
      <c r="E601" s="294"/>
      <c r="F601" s="267" t="s">
        <v>411</v>
      </c>
      <c r="G601" s="295" t="s">
        <v>437</v>
      </c>
      <c r="H601" s="295"/>
      <c r="J601" s="267" t="str">
        <f t="shared" si="45"/>
        <v>THU:</v>
      </c>
      <c r="K601" s="295"/>
      <c r="L601" s="295"/>
      <c r="M601" s="296"/>
      <c r="N601" s="267" t="s">
        <v>411</v>
      </c>
      <c r="O601" s="295"/>
      <c r="P601" s="295"/>
      <c r="Q601" s="296"/>
      <c r="R601" s="267" t="s">
        <v>412</v>
      </c>
      <c r="S601" s="297"/>
      <c r="T601" s="297"/>
      <c r="U601" s="243"/>
      <c r="X601" s="273"/>
      <c r="Y601" s="273"/>
      <c r="Z601" s="273"/>
      <c r="AB601" s="273"/>
      <c r="AC601" s="273"/>
      <c r="AD601" s="273"/>
      <c r="AF601" s="273"/>
      <c r="AG601" s="273"/>
      <c r="AH601" s="273"/>
      <c r="AJ601" s="273"/>
      <c r="AK601" s="273"/>
      <c r="AL601" s="273"/>
    </row>
    <row r="602" spans="1:38">
      <c r="A602" s="9"/>
      <c r="B602" s="260"/>
      <c r="C602" s="274"/>
      <c r="D602" s="294"/>
      <c r="E602" s="294"/>
      <c r="F602" s="267" t="s">
        <v>414</v>
      </c>
      <c r="G602" s="295" t="s">
        <v>437</v>
      </c>
      <c r="H602" s="295"/>
      <c r="J602" s="267" t="str">
        <f t="shared" si="45"/>
        <v>FRI:</v>
      </c>
      <c r="K602" s="295"/>
      <c r="L602" s="295"/>
      <c r="M602" s="296"/>
      <c r="N602" s="267" t="s">
        <v>414</v>
      </c>
      <c r="O602" s="295"/>
      <c r="P602" s="295"/>
      <c r="Q602" s="296"/>
      <c r="R602" s="267" t="s">
        <v>415</v>
      </c>
      <c r="S602" s="297"/>
      <c r="T602" s="297"/>
      <c r="U602" s="243"/>
      <c r="X602" s="273"/>
      <c r="Y602" s="273"/>
      <c r="Z602" s="273"/>
      <c r="AB602" s="273"/>
      <c r="AC602" s="273"/>
      <c r="AD602" s="273"/>
      <c r="AF602" s="273"/>
      <c r="AG602" s="273"/>
      <c r="AH602" s="273"/>
      <c r="AJ602" s="273"/>
      <c r="AK602" s="273"/>
      <c r="AL602" s="273"/>
    </row>
    <row r="603" spans="1:38">
      <c r="A603" s="9"/>
      <c r="B603" s="260"/>
      <c r="C603" s="238" t="str">
        <f>IF(AND(C599="Other",OR(D603=" ",D603="")),"Select Type →",IF(AND(NOT(C599="Other"),AND(NOT(D603=" "),NOT(D603=""))),"Deselect Type→",VLOOKUP(C599,$BL$6:$BM$19,2,0)))</f>
        <v>On/Off</v>
      </c>
      <c r="D603" s="299"/>
      <c r="E603" s="299"/>
      <c r="F603" s="267" t="s">
        <v>418</v>
      </c>
      <c r="G603" s="295" t="s">
        <v>437</v>
      </c>
      <c r="H603" s="295"/>
      <c r="J603" s="267" t="str">
        <f t="shared" si="45"/>
        <v>SAT:</v>
      </c>
      <c r="K603" s="295"/>
      <c r="L603" s="295"/>
      <c r="M603" s="296"/>
      <c r="N603" s="267" t="s">
        <v>418</v>
      </c>
      <c r="O603" s="295"/>
      <c r="P603" s="295"/>
      <c r="Q603" s="296"/>
      <c r="R603" s="267" t="s">
        <v>419</v>
      </c>
      <c r="S603" s="297"/>
      <c r="T603" s="297"/>
      <c r="U603" s="243"/>
      <c r="X603" s="273"/>
      <c r="Y603" s="273"/>
      <c r="Z603" s="273"/>
      <c r="AB603" s="273"/>
      <c r="AC603" s="273"/>
      <c r="AD603" s="273"/>
      <c r="AF603" s="273"/>
      <c r="AG603" s="273"/>
      <c r="AH603" s="273"/>
      <c r="AJ603" s="273"/>
      <c r="AK603" s="273"/>
      <c r="AL603" s="273"/>
    </row>
    <row r="604" spans="1:38">
      <c r="A604" s="9"/>
      <c r="B604" s="260"/>
      <c r="C604" s="238"/>
      <c r="D604" s="299"/>
      <c r="E604" s="299"/>
      <c r="F604" s="267" t="s">
        <v>421</v>
      </c>
      <c r="G604" s="295" t="s">
        <v>437</v>
      </c>
      <c r="H604" s="295"/>
      <c r="J604" s="267" t="str">
        <f t="shared" si="45"/>
        <v>HOL:</v>
      </c>
      <c r="K604" s="295"/>
      <c r="L604" s="295"/>
      <c r="M604" s="296"/>
      <c r="N604" s="267" t="s">
        <v>421</v>
      </c>
      <c r="O604" s="295"/>
      <c r="P604" s="295"/>
      <c r="Q604" s="296"/>
      <c r="R604" s="267" t="s">
        <v>391</v>
      </c>
      <c r="S604" s="297"/>
      <c r="T604" s="297"/>
      <c r="U604" s="243"/>
      <c r="X604" s="273"/>
      <c r="Y604" s="273"/>
      <c r="Z604" s="273"/>
      <c r="AB604" s="273"/>
      <c r="AC604" s="273"/>
      <c r="AD604" s="273"/>
      <c r="AF604" s="273"/>
      <c r="AG604" s="273"/>
      <c r="AH604" s="273"/>
      <c r="AJ604" s="273"/>
      <c r="AK604" s="273"/>
      <c r="AL604" s="273"/>
    </row>
    <row r="605" spans="1:38">
      <c r="A605" s="9"/>
      <c r="B605" s="260"/>
      <c r="C605" s="300"/>
      <c r="D605" s="300"/>
      <c r="E605" s="300"/>
      <c r="F605" s="267" t="s">
        <v>424</v>
      </c>
      <c r="G605" s="295" t="s">
        <v>438</v>
      </c>
      <c r="H605" s="295"/>
      <c r="J605" s="267" t="str">
        <f t="shared" si="45"/>
        <v>HDD:</v>
      </c>
      <c r="K605" s="295"/>
      <c r="L605" s="295"/>
      <c r="M605" s="296"/>
      <c r="N605" s="267" t="s">
        <v>424</v>
      </c>
      <c r="O605" s="295"/>
      <c r="P605" s="295"/>
      <c r="Q605" s="296"/>
      <c r="R605" s="267" t="s">
        <v>426</v>
      </c>
      <c r="S605" s="297"/>
      <c r="T605" s="297"/>
      <c r="U605" s="243"/>
    </row>
    <row r="606" spans="1:38">
      <c r="A606" s="9"/>
      <c r="B606" s="260"/>
      <c r="C606" s="300"/>
      <c r="D606" s="300"/>
      <c r="E606" s="300"/>
      <c r="F606" s="267" t="s">
        <v>429</v>
      </c>
      <c r="G606" s="295" t="s">
        <v>439</v>
      </c>
      <c r="H606" s="295"/>
      <c r="I606" s="296"/>
      <c r="J606" s="267" t="str">
        <f t="shared" si="45"/>
        <v>CDD:</v>
      </c>
      <c r="K606" s="295"/>
      <c r="L606" s="295"/>
      <c r="M606" s="296"/>
      <c r="N606" s="267" t="s">
        <v>429</v>
      </c>
      <c r="O606" s="295"/>
      <c r="P606" s="295"/>
      <c r="Q606" s="296"/>
      <c r="R606" s="267" t="s">
        <v>431</v>
      </c>
      <c r="S606" s="297"/>
      <c r="T606" s="297"/>
      <c r="U606" s="243"/>
    </row>
    <row r="607" spans="1:38">
      <c r="A607" s="9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43"/>
    </row>
    <row r="608" spans="1:38" ht="28.5">
      <c r="A608" s="9">
        <f>A594+1</f>
        <v>44</v>
      </c>
      <c r="B608" s="282" t="s">
        <v>376</v>
      </c>
      <c r="C608" s="287" t="s">
        <v>435</v>
      </c>
      <c r="D608" s="287"/>
      <c r="E608" s="287"/>
      <c r="F608" s="249" t="s">
        <v>378</v>
      </c>
      <c r="G608" s="288" t="s">
        <v>379</v>
      </c>
      <c r="H608" s="289">
        <v>1</v>
      </c>
      <c r="I608" s="289"/>
      <c r="J608" s="249" t="s">
        <v>378</v>
      </c>
      <c r="K608" s="290" t="str">
        <f>IF(AND(G609="December",H609=31)," ",IF(VLOOKUP(G609,D!$G$5:$I$16,3,0)=H609,LOOKUP(VLOOKUP(G609,D!$G$4:$H$16,2,0)+1,D!$H$4:$H$16,D!$G$4:$G$16),G609))</f>
        <v>January</v>
      </c>
      <c r="L608" s="289">
        <f>IF(K608=" "," ",IF(K608=G609,H609+1,1))</f>
        <v>29</v>
      </c>
      <c r="M608" s="289"/>
      <c r="N608" s="249" t="s">
        <v>378</v>
      </c>
      <c r="O608" s="288" t="str">
        <f>IF(OR(K609=" ",AND(K609="December",L609=31))," ",IF(VLOOKUP(K609,D!$G$5:$I$16,3,0)=L609,LOOKUP(VLOOKUP(K609,D!$G$4:$H$16,2,0)+1,D!$H$4:$H$16,D!$G$4:$G$16),K609))</f>
        <v>June</v>
      </c>
      <c r="P608" s="289">
        <f>IF(O608=" "," ",IF(O608=K609,L609+1,1))</f>
        <v>9</v>
      </c>
      <c r="Q608" s="289"/>
      <c r="R608" s="249" t="s">
        <v>378</v>
      </c>
      <c r="S608" s="288" t="str">
        <f>IF(OR(O609=" ",AND(O609="December",P609=31))," ",IF(VLOOKUP(O609,D!$G$5:$I$16,3,0)=P609,LOOKUP(VLOOKUP(O609,D!$G$4:$H$16,2,0)+1,D!$H$4:$H$16,D!$G$4:$G$16),O609))</f>
        <v>September</v>
      </c>
      <c r="T608" s="289">
        <f>IF(S608=" "," ",IF(S608=O609,P609+1,1))</f>
        <v>9</v>
      </c>
      <c r="U608" s="243"/>
    </row>
    <row r="609" spans="1:38" ht="28.5">
      <c r="A609" s="9"/>
      <c r="B609" s="282"/>
      <c r="C609" s="287"/>
      <c r="D609" s="287"/>
      <c r="E609" s="287"/>
      <c r="F609" s="255" t="s">
        <v>380</v>
      </c>
      <c r="G609" s="291" t="s">
        <v>379</v>
      </c>
      <c r="H609" s="292">
        <v>28</v>
      </c>
      <c r="I609" s="292"/>
      <c r="J609" s="255" t="s">
        <v>380</v>
      </c>
      <c r="K609" s="291" t="s">
        <v>383</v>
      </c>
      <c r="L609" s="292">
        <v>8</v>
      </c>
      <c r="M609" s="292"/>
      <c r="N609" s="255" t="s">
        <v>380</v>
      </c>
      <c r="O609" s="291" t="s">
        <v>436</v>
      </c>
      <c r="P609" s="292">
        <v>8</v>
      </c>
      <c r="Q609" s="292"/>
      <c r="R609" s="255" t="s">
        <v>380</v>
      </c>
      <c r="S609" s="291" t="s">
        <v>384</v>
      </c>
      <c r="T609" s="292">
        <v>31</v>
      </c>
      <c r="U609" s="243"/>
      <c r="X609" s="273"/>
      <c r="Y609" s="273"/>
      <c r="Z609" s="273"/>
      <c r="AB609" s="273"/>
      <c r="AC609" s="273"/>
      <c r="AD609" s="273"/>
      <c r="AF609" s="273"/>
      <c r="AG609" s="273"/>
      <c r="AH609" s="273"/>
      <c r="AJ609" s="273"/>
      <c r="AK609" s="273"/>
      <c r="AL609" s="273"/>
    </row>
    <row r="610" spans="1:38">
      <c r="A610" s="9"/>
      <c r="B610" s="260"/>
      <c r="C610" s="293" t="s">
        <v>395</v>
      </c>
      <c r="D610" s="294"/>
      <c r="E610" s="294"/>
      <c r="F610" s="262"/>
      <c r="G610" s="263" t="str">
        <f>IF(OR(H609&gt;VLOOKUP(G609,D!$G$4:$I$16,3,0),AND(G609=G608,H609&lt;=H608),VLOOKUP(G609,D!$G$4:$H$16,2,0)&lt;VLOOKUP(G608,D!$G$4:$H$16,2,0)),"Must correct date!","")</f>
        <v/>
      </c>
      <c r="H610" s="263"/>
      <c r="J610" s="262"/>
      <c r="K610" s="263" t="str">
        <f>IF(AND(K609=" ",K608=" "),"",IF(OR(L609&gt;VLOOKUP(K609,D!$G$4:$I$16,3,0),AND(K609=K608,L609&lt;=L608),VLOOKUP(K609,D!$G$4:$H$16,2,0)&lt;VLOOKUP(K608,D!$G$4:$H$16,2,0)),"Must correct date!",""))</f>
        <v/>
      </c>
      <c r="L610" s="263"/>
      <c r="N610" s="262"/>
      <c r="O610" s="263" t="str">
        <f>IF(AND(O609=" ",O608=" "),"",IF(OR(P609&gt;VLOOKUP(O609,D!$G$4:$I$16,3,0),AND(O609=O608,P609&lt;=P608),VLOOKUP(O609,D!$G$4:$H$16,2,0)&lt;VLOOKUP(O608,D!$G$4:$H$16,2,0)),"Must correct date!",""))</f>
        <v/>
      </c>
      <c r="P610" s="263"/>
      <c r="R610" s="262"/>
      <c r="S610" s="265" t="str">
        <f>IF(AND(S609=" ",S608=" "),"",IF(OR(T609&gt;VLOOKUP(S609,D!$G$4:$I$16,3,0),AND(S609=S608,T609&lt;=T608),VLOOKUP(S609,D!$G$4:$H$16,2,0)&lt;VLOOKUP(S608,D!$G$4:$H$16,2,0)),"Must correct date!",""))</f>
        <v/>
      </c>
      <c r="T610" s="265"/>
      <c r="U610" s="243"/>
      <c r="X610" s="273"/>
      <c r="Y610" s="273"/>
      <c r="Z610" s="273"/>
      <c r="AB610" s="273"/>
      <c r="AC610" s="273"/>
      <c r="AD610" s="273"/>
      <c r="AF610" s="273"/>
      <c r="AG610" s="273"/>
      <c r="AH610" s="273"/>
      <c r="AJ610" s="273"/>
      <c r="AK610" s="273"/>
      <c r="AL610" s="273"/>
    </row>
    <row r="611" spans="1:38">
      <c r="A611" s="9"/>
      <c r="B611" s="260"/>
      <c r="C611" s="293"/>
      <c r="D611" s="294"/>
      <c r="E611" s="294"/>
      <c r="F611" s="267" t="s">
        <v>389</v>
      </c>
      <c r="G611" s="295" t="s">
        <v>437</v>
      </c>
      <c r="H611" s="295"/>
      <c r="I611" s="296"/>
      <c r="J611" s="267" t="str">
        <f t="shared" ref="J611:J620" si="46">$F611</f>
        <v>SUN:</v>
      </c>
      <c r="K611" s="295"/>
      <c r="L611" s="295"/>
      <c r="M611" s="296"/>
      <c r="N611" s="267" t="s">
        <v>389</v>
      </c>
      <c r="O611" s="295"/>
      <c r="P611" s="295"/>
      <c r="Q611" s="296"/>
      <c r="R611" s="267" t="s">
        <v>391</v>
      </c>
      <c r="S611" s="297"/>
      <c r="T611" s="297"/>
      <c r="U611" s="243"/>
      <c r="X611" s="273"/>
      <c r="Y611" s="273"/>
      <c r="Z611" s="273"/>
      <c r="AB611" s="273"/>
      <c r="AC611" s="273"/>
      <c r="AD611" s="273"/>
      <c r="AF611" s="273"/>
      <c r="AG611" s="273"/>
      <c r="AH611" s="273"/>
      <c r="AJ611" s="273"/>
      <c r="AK611" s="273"/>
      <c r="AL611" s="273"/>
    </row>
    <row r="612" spans="1:38">
      <c r="A612" s="9"/>
      <c r="B612" s="260"/>
      <c r="C612" s="293"/>
      <c r="D612" s="294"/>
      <c r="E612" s="294"/>
      <c r="F612" s="267" t="s">
        <v>396</v>
      </c>
      <c r="G612" s="295" t="s">
        <v>437</v>
      </c>
      <c r="H612" s="295"/>
      <c r="J612" s="267" t="str">
        <f t="shared" si="46"/>
        <v>MON:</v>
      </c>
      <c r="K612" s="295"/>
      <c r="L612" s="295"/>
      <c r="M612" s="296"/>
      <c r="N612" s="267" t="s">
        <v>396</v>
      </c>
      <c r="O612" s="295"/>
      <c r="P612" s="295"/>
      <c r="Q612" s="296"/>
      <c r="R612" s="267" t="s">
        <v>397</v>
      </c>
      <c r="S612" s="297"/>
      <c r="T612" s="297"/>
      <c r="U612" s="243"/>
      <c r="X612" s="273"/>
      <c r="Y612" s="273"/>
      <c r="Z612" s="273"/>
      <c r="AB612" s="273"/>
      <c r="AC612" s="273"/>
      <c r="AD612" s="273"/>
      <c r="AF612" s="273"/>
      <c r="AG612" s="273"/>
      <c r="AH612" s="273"/>
      <c r="AJ612" s="273"/>
      <c r="AK612" s="273"/>
      <c r="AL612" s="273"/>
    </row>
    <row r="613" spans="1:38" ht="28.5">
      <c r="A613" s="9"/>
      <c r="B613" s="260"/>
      <c r="C613" s="298" t="s">
        <v>387</v>
      </c>
      <c r="D613" s="294"/>
      <c r="E613" s="294"/>
      <c r="F613" s="267" t="s">
        <v>402</v>
      </c>
      <c r="G613" s="295" t="s">
        <v>437</v>
      </c>
      <c r="H613" s="295"/>
      <c r="J613" s="267" t="str">
        <f t="shared" si="46"/>
        <v>TUE:</v>
      </c>
      <c r="K613" s="295"/>
      <c r="L613" s="295"/>
      <c r="M613" s="296"/>
      <c r="N613" s="267" t="s">
        <v>402</v>
      </c>
      <c r="O613" s="295"/>
      <c r="P613" s="295"/>
      <c r="Q613" s="296"/>
      <c r="R613" s="267" t="s">
        <v>403</v>
      </c>
      <c r="S613" s="297"/>
      <c r="T613" s="297"/>
      <c r="U613" s="243"/>
      <c r="X613" s="273"/>
      <c r="Y613" s="273"/>
      <c r="Z613" s="273"/>
      <c r="AB613" s="273"/>
      <c r="AC613" s="273"/>
      <c r="AD613" s="273"/>
      <c r="AF613" s="273"/>
      <c r="AG613" s="273"/>
      <c r="AH613" s="273"/>
      <c r="AJ613" s="273"/>
      <c r="AK613" s="273"/>
      <c r="AL613" s="273"/>
    </row>
    <row r="614" spans="1:38">
      <c r="A614" s="9"/>
      <c r="B614" s="260"/>
      <c r="C614" s="298"/>
      <c r="D614" s="294"/>
      <c r="E614" s="294"/>
      <c r="F614" s="267" t="s">
        <v>407</v>
      </c>
      <c r="G614" s="295" t="s">
        <v>437</v>
      </c>
      <c r="H614" s="295"/>
      <c r="J614" s="267" t="str">
        <f t="shared" si="46"/>
        <v>WED:</v>
      </c>
      <c r="K614" s="295"/>
      <c r="L614" s="295"/>
      <c r="M614" s="296"/>
      <c r="N614" s="267" t="s">
        <v>407</v>
      </c>
      <c r="O614" s="295"/>
      <c r="P614" s="295"/>
      <c r="Q614" s="296"/>
      <c r="R614" s="267" t="s">
        <v>408</v>
      </c>
      <c r="S614" s="297"/>
      <c r="T614" s="297"/>
      <c r="U614" s="243"/>
      <c r="X614" s="273"/>
      <c r="Y614" s="273"/>
      <c r="Z614" s="273"/>
      <c r="AB614" s="273"/>
      <c r="AC614" s="273"/>
      <c r="AD614" s="273"/>
      <c r="AF614" s="273"/>
      <c r="AG614" s="273"/>
      <c r="AH614" s="273"/>
      <c r="AJ614" s="273"/>
      <c r="AK614" s="273"/>
      <c r="AL614" s="273"/>
    </row>
    <row r="615" spans="1:38" ht="24">
      <c r="A615" s="9"/>
      <c r="B615" s="260"/>
      <c r="C615" s="274" t="s">
        <v>410</v>
      </c>
      <c r="D615" s="294"/>
      <c r="E615" s="294"/>
      <c r="F615" s="267" t="s">
        <v>411</v>
      </c>
      <c r="G615" s="295" t="s">
        <v>437</v>
      </c>
      <c r="H615" s="295"/>
      <c r="J615" s="267" t="str">
        <f t="shared" si="46"/>
        <v>THU:</v>
      </c>
      <c r="K615" s="295"/>
      <c r="L615" s="295"/>
      <c r="M615" s="296"/>
      <c r="N615" s="267" t="s">
        <v>411</v>
      </c>
      <c r="O615" s="295"/>
      <c r="P615" s="295"/>
      <c r="Q615" s="296"/>
      <c r="R615" s="267" t="s">
        <v>412</v>
      </c>
      <c r="S615" s="297"/>
      <c r="T615" s="297"/>
      <c r="U615" s="243"/>
      <c r="X615" s="273"/>
      <c r="Y615" s="273"/>
      <c r="Z615" s="273"/>
      <c r="AB615" s="273"/>
      <c r="AC615" s="273"/>
      <c r="AD615" s="273"/>
      <c r="AF615" s="273"/>
      <c r="AG615" s="273"/>
      <c r="AH615" s="273"/>
      <c r="AJ615" s="273"/>
      <c r="AK615" s="273"/>
      <c r="AL615" s="273"/>
    </row>
    <row r="616" spans="1:38">
      <c r="A616" s="9"/>
      <c r="B616" s="260"/>
      <c r="C616" s="274"/>
      <c r="D616" s="294"/>
      <c r="E616" s="294"/>
      <c r="F616" s="267" t="s">
        <v>414</v>
      </c>
      <c r="G616" s="295" t="s">
        <v>437</v>
      </c>
      <c r="H616" s="295"/>
      <c r="J616" s="267" t="str">
        <f t="shared" si="46"/>
        <v>FRI:</v>
      </c>
      <c r="K616" s="295"/>
      <c r="L616" s="295"/>
      <c r="M616" s="296"/>
      <c r="N616" s="267" t="s">
        <v>414</v>
      </c>
      <c r="O616" s="295"/>
      <c r="P616" s="295"/>
      <c r="Q616" s="296"/>
      <c r="R616" s="267" t="s">
        <v>415</v>
      </c>
      <c r="S616" s="297"/>
      <c r="T616" s="297"/>
      <c r="U616" s="243"/>
      <c r="X616" s="273"/>
      <c r="Y616" s="273"/>
      <c r="Z616" s="273"/>
      <c r="AB616" s="273"/>
      <c r="AC616" s="273"/>
      <c r="AD616" s="273"/>
      <c r="AF616" s="273"/>
      <c r="AG616" s="273"/>
      <c r="AH616" s="273"/>
      <c r="AJ616" s="273"/>
      <c r="AK616" s="273"/>
      <c r="AL616" s="273"/>
    </row>
    <row r="617" spans="1:38">
      <c r="A617" s="9"/>
      <c r="B617" s="260"/>
      <c r="C617" s="238" t="str">
        <f>IF(AND(C613="Other",OR(D617=" ",D617="")),"Select Type →",IF(AND(NOT(C613="Other"),AND(NOT(D617=" "),NOT(D617=""))),"Deselect Type→",VLOOKUP(C613,$BL$6:$BM$19,2,0)))</f>
        <v>On/Off</v>
      </c>
      <c r="D617" s="299"/>
      <c r="E617" s="299"/>
      <c r="F617" s="267" t="s">
        <v>418</v>
      </c>
      <c r="G617" s="295" t="s">
        <v>437</v>
      </c>
      <c r="H617" s="295"/>
      <c r="J617" s="267" t="str">
        <f t="shared" si="46"/>
        <v>SAT:</v>
      </c>
      <c r="K617" s="295"/>
      <c r="L617" s="295"/>
      <c r="M617" s="296"/>
      <c r="N617" s="267" t="s">
        <v>418</v>
      </c>
      <c r="O617" s="295"/>
      <c r="P617" s="295"/>
      <c r="Q617" s="296"/>
      <c r="R617" s="267" t="s">
        <v>419</v>
      </c>
      <c r="S617" s="297"/>
      <c r="T617" s="297"/>
      <c r="U617" s="243"/>
      <c r="X617" s="273"/>
      <c r="Y617" s="273"/>
      <c r="Z617" s="273"/>
      <c r="AB617" s="273"/>
      <c r="AC617" s="273"/>
      <c r="AD617" s="273"/>
      <c r="AF617" s="273"/>
      <c r="AG617" s="273"/>
      <c r="AH617" s="273"/>
      <c r="AJ617" s="273"/>
      <c r="AK617" s="273"/>
      <c r="AL617" s="273"/>
    </row>
    <row r="618" spans="1:38">
      <c r="A618" s="9"/>
      <c r="B618" s="260"/>
      <c r="C618" s="238"/>
      <c r="D618" s="299"/>
      <c r="E618" s="299"/>
      <c r="F618" s="267" t="s">
        <v>421</v>
      </c>
      <c r="G618" s="295" t="s">
        <v>437</v>
      </c>
      <c r="H618" s="295"/>
      <c r="J618" s="267" t="str">
        <f t="shared" si="46"/>
        <v>HOL:</v>
      </c>
      <c r="K618" s="295"/>
      <c r="L618" s="295"/>
      <c r="M618" s="296"/>
      <c r="N618" s="267" t="s">
        <v>421</v>
      </c>
      <c r="O618" s="295"/>
      <c r="P618" s="295"/>
      <c r="Q618" s="296"/>
      <c r="R618" s="267" t="s">
        <v>391</v>
      </c>
      <c r="S618" s="297"/>
      <c r="T618" s="297"/>
      <c r="U618" s="243"/>
      <c r="X618" s="273"/>
      <c r="Y618" s="273"/>
      <c r="Z618" s="273"/>
      <c r="AB618" s="273"/>
      <c r="AC618" s="273"/>
      <c r="AD618" s="273"/>
      <c r="AF618" s="273"/>
      <c r="AG618" s="273"/>
      <c r="AH618" s="273"/>
      <c r="AJ618" s="273"/>
      <c r="AK618" s="273"/>
      <c r="AL618" s="273"/>
    </row>
    <row r="619" spans="1:38">
      <c r="A619" s="9"/>
      <c r="B619" s="260"/>
      <c r="C619" s="300"/>
      <c r="D619" s="300"/>
      <c r="E619" s="300"/>
      <c r="F619" s="267" t="s">
        <v>424</v>
      </c>
      <c r="G619" s="295" t="s">
        <v>438</v>
      </c>
      <c r="H619" s="295"/>
      <c r="J619" s="267" t="str">
        <f t="shared" si="46"/>
        <v>HDD:</v>
      </c>
      <c r="K619" s="295"/>
      <c r="L619" s="295"/>
      <c r="M619" s="296"/>
      <c r="N619" s="267" t="s">
        <v>424</v>
      </c>
      <c r="O619" s="295"/>
      <c r="P619" s="295"/>
      <c r="Q619" s="296"/>
      <c r="R619" s="267" t="s">
        <v>426</v>
      </c>
      <c r="S619" s="297"/>
      <c r="T619" s="297"/>
      <c r="U619" s="243"/>
    </row>
    <row r="620" spans="1:38">
      <c r="A620" s="9"/>
      <c r="B620" s="260"/>
      <c r="C620" s="300"/>
      <c r="D620" s="300"/>
      <c r="E620" s="300"/>
      <c r="F620" s="267" t="s">
        <v>429</v>
      </c>
      <c r="G620" s="295" t="s">
        <v>439</v>
      </c>
      <c r="H620" s="295"/>
      <c r="I620" s="296"/>
      <c r="J620" s="267" t="str">
        <f t="shared" si="46"/>
        <v>CDD:</v>
      </c>
      <c r="K620" s="295"/>
      <c r="L620" s="295"/>
      <c r="M620" s="296"/>
      <c r="N620" s="267" t="s">
        <v>429</v>
      </c>
      <c r="O620" s="295"/>
      <c r="P620" s="295"/>
      <c r="Q620" s="296"/>
      <c r="R620" s="267" t="s">
        <v>431</v>
      </c>
      <c r="S620" s="297"/>
      <c r="T620" s="297"/>
      <c r="U620" s="243"/>
    </row>
    <row r="621" spans="1:38">
      <c r="A621" s="9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43"/>
    </row>
    <row r="622" spans="1:38" ht="28.5">
      <c r="A622" s="9">
        <f>A608+1</f>
        <v>45</v>
      </c>
      <c r="B622" s="282" t="s">
        <v>376</v>
      </c>
      <c r="C622" s="287" t="s">
        <v>435</v>
      </c>
      <c r="D622" s="287"/>
      <c r="E622" s="287"/>
      <c r="F622" s="249" t="s">
        <v>378</v>
      </c>
      <c r="G622" s="288" t="s">
        <v>379</v>
      </c>
      <c r="H622" s="289">
        <v>1</v>
      </c>
      <c r="I622" s="289"/>
      <c r="J622" s="249" t="s">
        <v>378</v>
      </c>
      <c r="K622" s="290" t="str">
        <f>IF(AND(G623="December",H623=31)," ",IF(VLOOKUP(G623,D!$G$5:$I$16,3,0)=H623,LOOKUP(VLOOKUP(G623,D!$G$4:$H$16,2,0)+1,D!$H$4:$H$16,D!$G$4:$G$16),G623))</f>
        <v>January</v>
      </c>
      <c r="L622" s="289">
        <f>IF(K622=" "," ",IF(K622=G623,H623+1,1))</f>
        <v>29</v>
      </c>
      <c r="M622" s="289"/>
      <c r="N622" s="249" t="s">
        <v>378</v>
      </c>
      <c r="O622" s="288" t="str">
        <f>IF(OR(K623=" ",AND(K623="December",L623=31))," ",IF(VLOOKUP(K623,D!$G$5:$I$16,3,0)=L623,LOOKUP(VLOOKUP(K623,D!$G$4:$H$16,2,0)+1,D!$H$4:$H$16,D!$G$4:$G$16),K623))</f>
        <v>June</v>
      </c>
      <c r="P622" s="289">
        <f>IF(O622=" "," ",IF(O622=K623,L623+1,1))</f>
        <v>9</v>
      </c>
      <c r="Q622" s="289"/>
      <c r="R622" s="249" t="s">
        <v>378</v>
      </c>
      <c r="S622" s="288" t="str">
        <f>IF(OR(O623=" ",AND(O623="December",P623=31))," ",IF(VLOOKUP(O623,D!$G$5:$I$16,3,0)=P623,LOOKUP(VLOOKUP(O623,D!$G$4:$H$16,2,0)+1,D!$H$4:$H$16,D!$G$4:$G$16),O623))</f>
        <v>September</v>
      </c>
      <c r="T622" s="289">
        <f>IF(S622=" "," ",IF(S622=O623,P623+1,1))</f>
        <v>9</v>
      </c>
      <c r="U622" s="243"/>
    </row>
    <row r="623" spans="1:38" ht="28.5">
      <c r="A623" s="9"/>
      <c r="B623" s="282"/>
      <c r="C623" s="287"/>
      <c r="D623" s="287"/>
      <c r="E623" s="287"/>
      <c r="F623" s="255" t="s">
        <v>380</v>
      </c>
      <c r="G623" s="291" t="s">
        <v>379</v>
      </c>
      <c r="H623" s="292">
        <v>28</v>
      </c>
      <c r="I623" s="292"/>
      <c r="J623" s="255" t="s">
        <v>380</v>
      </c>
      <c r="K623" s="291" t="s">
        <v>383</v>
      </c>
      <c r="L623" s="292">
        <v>8</v>
      </c>
      <c r="M623" s="292"/>
      <c r="N623" s="255" t="s">
        <v>380</v>
      </c>
      <c r="O623" s="291" t="s">
        <v>436</v>
      </c>
      <c r="P623" s="292">
        <v>8</v>
      </c>
      <c r="Q623" s="292"/>
      <c r="R623" s="255" t="s">
        <v>380</v>
      </c>
      <c r="S623" s="291" t="s">
        <v>384</v>
      </c>
      <c r="T623" s="292">
        <v>31</v>
      </c>
      <c r="U623" s="243"/>
      <c r="X623" s="273"/>
      <c r="Y623" s="273"/>
      <c r="Z623" s="273"/>
      <c r="AB623" s="273"/>
      <c r="AC623" s="273"/>
      <c r="AD623" s="273"/>
      <c r="AF623" s="273"/>
      <c r="AG623" s="273"/>
      <c r="AH623" s="273"/>
      <c r="AJ623" s="273"/>
      <c r="AK623" s="273"/>
      <c r="AL623" s="273"/>
    </row>
    <row r="624" spans="1:38">
      <c r="A624" s="9"/>
      <c r="B624" s="260"/>
      <c r="C624" s="293" t="s">
        <v>395</v>
      </c>
      <c r="D624" s="294"/>
      <c r="E624" s="294"/>
      <c r="F624" s="262"/>
      <c r="G624" s="263" t="str">
        <f>IF(OR(H623&gt;VLOOKUP(G623,D!$G$4:$I$16,3,0),AND(G623=G622,H623&lt;=H622),VLOOKUP(G623,D!$G$4:$H$16,2,0)&lt;VLOOKUP(G622,D!$G$4:$H$16,2,0)),"Must correct date!","")</f>
        <v/>
      </c>
      <c r="H624" s="263"/>
      <c r="J624" s="262"/>
      <c r="K624" s="263" t="str">
        <f>IF(AND(K623=" ",K622=" "),"",IF(OR(L623&gt;VLOOKUP(K623,D!$G$4:$I$16,3,0),AND(K623=K622,L623&lt;=L622),VLOOKUP(K623,D!$G$4:$H$16,2,0)&lt;VLOOKUP(K622,D!$G$4:$H$16,2,0)),"Must correct date!",""))</f>
        <v/>
      </c>
      <c r="L624" s="263"/>
      <c r="N624" s="262"/>
      <c r="O624" s="263" t="str">
        <f>IF(AND(O623=" ",O622=" "),"",IF(OR(P623&gt;VLOOKUP(O623,D!$G$4:$I$16,3,0),AND(O623=O622,P623&lt;=P622),VLOOKUP(O623,D!$G$4:$H$16,2,0)&lt;VLOOKUP(O622,D!$G$4:$H$16,2,0)),"Must correct date!",""))</f>
        <v/>
      </c>
      <c r="P624" s="263"/>
      <c r="R624" s="262"/>
      <c r="S624" s="265" t="str">
        <f>IF(AND(S623=" ",S622=" "),"",IF(OR(T623&gt;VLOOKUP(S623,D!$G$4:$I$16,3,0),AND(S623=S622,T623&lt;=T622),VLOOKUP(S623,D!$G$4:$H$16,2,0)&lt;VLOOKUP(S622,D!$G$4:$H$16,2,0)),"Must correct date!",""))</f>
        <v/>
      </c>
      <c r="T624" s="265"/>
      <c r="U624" s="243"/>
      <c r="X624" s="273"/>
      <c r="Y624" s="273"/>
      <c r="Z624" s="273"/>
      <c r="AB624" s="273"/>
      <c r="AC624" s="273"/>
      <c r="AD624" s="273"/>
      <c r="AF624" s="273"/>
      <c r="AG624" s="273"/>
      <c r="AH624" s="273"/>
      <c r="AJ624" s="273"/>
      <c r="AK624" s="273"/>
      <c r="AL624" s="273"/>
    </row>
    <row r="625" spans="1:38">
      <c r="A625" s="9"/>
      <c r="B625" s="260"/>
      <c r="C625" s="293"/>
      <c r="D625" s="294"/>
      <c r="E625" s="294"/>
      <c r="F625" s="267" t="s">
        <v>389</v>
      </c>
      <c r="G625" s="295" t="s">
        <v>437</v>
      </c>
      <c r="H625" s="295"/>
      <c r="I625" s="296"/>
      <c r="J625" s="267" t="str">
        <f t="shared" ref="J625:J634" si="47">$F625</f>
        <v>SUN:</v>
      </c>
      <c r="K625" s="295"/>
      <c r="L625" s="295"/>
      <c r="M625" s="296"/>
      <c r="N625" s="267" t="s">
        <v>389</v>
      </c>
      <c r="O625" s="295"/>
      <c r="P625" s="295"/>
      <c r="Q625" s="296"/>
      <c r="R625" s="267" t="s">
        <v>391</v>
      </c>
      <c r="S625" s="297"/>
      <c r="T625" s="297"/>
      <c r="U625" s="243"/>
      <c r="X625" s="273"/>
      <c r="Y625" s="273"/>
      <c r="Z625" s="273"/>
      <c r="AB625" s="273"/>
      <c r="AC625" s="273"/>
      <c r="AD625" s="273"/>
      <c r="AF625" s="273"/>
      <c r="AG625" s="273"/>
      <c r="AH625" s="273"/>
      <c r="AJ625" s="273"/>
      <c r="AK625" s="273"/>
      <c r="AL625" s="273"/>
    </row>
    <row r="626" spans="1:38">
      <c r="A626" s="9"/>
      <c r="B626" s="260"/>
      <c r="C626" s="293"/>
      <c r="D626" s="294"/>
      <c r="E626" s="294"/>
      <c r="F626" s="267" t="s">
        <v>396</v>
      </c>
      <c r="G626" s="295" t="s">
        <v>437</v>
      </c>
      <c r="H626" s="295"/>
      <c r="J626" s="267" t="str">
        <f t="shared" si="47"/>
        <v>MON:</v>
      </c>
      <c r="K626" s="295"/>
      <c r="L626" s="295"/>
      <c r="M626" s="296"/>
      <c r="N626" s="267" t="s">
        <v>396</v>
      </c>
      <c r="O626" s="295"/>
      <c r="P626" s="295"/>
      <c r="Q626" s="296"/>
      <c r="R626" s="267" t="s">
        <v>397</v>
      </c>
      <c r="S626" s="297"/>
      <c r="T626" s="297"/>
      <c r="U626" s="243"/>
      <c r="X626" s="273"/>
      <c r="Y626" s="273"/>
      <c r="Z626" s="273"/>
      <c r="AB626" s="273"/>
      <c r="AC626" s="273"/>
      <c r="AD626" s="273"/>
      <c r="AF626" s="273"/>
      <c r="AG626" s="273"/>
      <c r="AH626" s="273"/>
      <c r="AJ626" s="273"/>
      <c r="AK626" s="273"/>
      <c r="AL626" s="273"/>
    </row>
    <row r="627" spans="1:38" ht="28.5">
      <c r="A627" s="9"/>
      <c r="B627" s="260"/>
      <c r="C627" s="298" t="s">
        <v>387</v>
      </c>
      <c r="D627" s="294"/>
      <c r="E627" s="294"/>
      <c r="F627" s="267" t="s">
        <v>402</v>
      </c>
      <c r="G627" s="295" t="s">
        <v>437</v>
      </c>
      <c r="H627" s="295"/>
      <c r="J627" s="267" t="str">
        <f t="shared" si="47"/>
        <v>TUE:</v>
      </c>
      <c r="K627" s="295"/>
      <c r="L627" s="295"/>
      <c r="M627" s="296"/>
      <c r="N627" s="267" t="s">
        <v>402</v>
      </c>
      <c r="O627" s="295"/>
      <c r="P627" s="295"/>
      <c r="Q627" s="296"/>
      <c r="R627" s="267" t="s">
        <v>403</v>
      </c>
      <c r="S627" s="297"/>
      <c r="T627" s="297"/>
      <c r="U627" s="243"/>
      <c r="X627" s="273"/>
      <c r="Y627" s="273"/>
      <c r="Z627" s="273"/>
      <c r="AB627" s="273"/>
      <c r="AC627" s="273"/>
      <c r="AD627" s="273"/>
      <c r="AF627" s="273"/>
      <c r="AG627" s="273"/>
      <c r="AH627" s="273"/>
      <c r="AJ627" s="273"/>
      <c r="AK627" s="273"/>
      <c r="AL627" s="273"/>
    </row>
    <row r="628" spans="1:38">
      <c r="A628" s="9"/>
      <c r="B628" s="260"/>
      <c r="C628" s="298"/>
      <c r="D628" s="294"/>
      <c r="E628" s="294"/>
      <c r="F628" s="267" t="s">
        <v>407</v>
      </c>
      <c r="G628" s="295" t="s">
        <v>437</v>
      </c>
      <c r="H628" s="295"/>
      <c r="J628" s="267" t="str">
        <f t="shared" si="47"/>
        <v>WED:</v>
      </c>
      <c r="K628" s="295"/>
      <c r="L628" s="295"/>
      <c r="M628" s="296"/>
      <c r="N628" s="267" t="s">
        <v>407</v>
      </c>
      <c r="O628" s="295"/>
      <c r="P628" s="295"/>
      <c r="Q628" s="296"/>
      <c r="R628" s="267" t="s">
        <v>408</v>
      </c>
      <c r="S628" s="297"/>
      <c r="T628" s="297"/>
      <c r="U628" s="243"/>
      <c r="X628" s="273"/>
      <c r="Y628" s="273"/>
      <c r="Z628" s="273"/>
      <c r="AB628" s="273"/>
      <c r="AC628" s="273"/>
      <c r="AD628" s="273"/>
      <c r="AF628" s="273"/>
      <c r="AG628" s="273"/>
      <c r="AH628" s="273"/>
      <c r="AJ628" s="273"/>
      <c r="AK628" s="273"/>
      <c r="AL628" s="273"/>
    </row>
    <row r="629" spans="1:38" ht="24">
      <c r="A629" s="9"/>
      <c r="B629" s="260"/>
      <c r="C629" s="274" t="s">
        <v>410</v>
      </c>
      <c r="D629" s="294"/>
      <c r="E629" s="294"/>
      <c r="F629" s="267" t="s">
        <v>411</v>
      </c>
      <c r="G629" s="295" t="s">
        <v>437</v>
      </c>
      <c r="H629" s="295"/>
      <c r="J629" s="267" t="str">
        <f t="shared" si="47"/>
        <v>THU:</v>
      </c>
      <c r="K629" s="295"/>
      <c r="L629" s="295"/>
      <c r="M629" s="296"/>
      <c r="N629" s="267" t="s">
        <v>411</v>
      </c>
      <c r="O629" s="295"/>
      <c r="P629" s="295"/>
      <c r="Q629" s="296"/>
      <c r="R629" s="267" t="s">
        <v>412</v>
      </c>
      <c r="S629" s="297"/>
      <c r="T629" s="297"/>
      <c r="U629" s="243"/>
      <c r="X629" s="273"/>
      <c r="Y629" s="273"/>
      <c r="Z629" s="273"/>
      <c r="AB629" s="273"/>
      <c r="AC629" s="273"/>
      <c r="AD629" s="273"/>
      <c r="AF629" s="273"/>
      <c r="AG629" s="273"/>
      <c r="AH629" s="273"/>
      <c r="AJ629" s="273"/>
      <c r="AK629" s="273"/>
      <c r="AL629" s="273"/>
    </row>
    <row r="630" spans="1:38">
      <c r="A630" s="9"/>
      <c r="B630" s="260"/>
      <c r="C630" s="274"/>
      <c r="D630" s="294"/>
      <c r="E630" s="294"/>
      <c r="F630" s="267" t="s">
        <v>414</v>
      </c>
      <c r="G630" s="295" t="s">
        <v>437</v>
      </c>
      <c r="H630" s="295"/>
      <c r="J630" s="267" t="str">
        <f t="shared" si="47"/>
        <v>FRI:</v>
      </c>
      <c r="K630" s="295"/>
      <c r="L630" s="295"/>
      <c r="M630" s="296"/>
      <c r="N630" s="267" t="s">
        <v>414</v>
      </c>
      <c r="O630" s="295"/>
      <c r="P630" s="295"/>
      <c r="Q630" s="296"/>
      <c r="R630" s="267" t="s">
        <v>415</v>
      </c>
      <c r="S630" s="297"/>
      <c r="T630" s="297"/>
      <c r="U630" s="243"/>
      <c r="X630" s="273"/>
      <c r="Y630" s="273"/>
      <c r="Z630" s="273"/>
      <c r="AB630" s="273"/>
      <c r="AC630" s="273"/>
      <c r="AD630" s="273"/>
      <c r="AF630" s="273"/>
      <c r="AG630" s="273"/>
      <c r="AH630" s="273"/>
      <c r="AJ630" s="273"/>
      <c r="AK630" s="273"/>
      <c r="AL630" s="273"/>
    </row>
    <row r="631" spans="1:38">
      <c r="A631" s="9"/>
      <c r="B631" s="260"/>
      <c r="C631" s="238" t="str">
        <f>IF(AND(C627="Other",OR(D631=" ",D631="")),"Select Type →",IF(AND(NOT(C627="Other"),AND(NOT(D631=" "),NOT(D631=""))),"Deselect Type→",VLOOKUP(C627,$BL$6:$BM$19,2,0)))</f>
        <v>On/Off</v>
      </c>
      <c r="D631" s="299"/>
      <c r="E631" s="299"/>
      <c r="F631" s="267" t="s">
        <v>418</v>
      </c>
      <c r="G631" s="295" t="s">
        <v>437</v>
      </c>
      <c r="H631" s="295"/>
      <c r="J631" s="267" t="str">
        <f t="shared" si="47"/>
        <v>SAT:</v>
      </c>
      <c r="K631" s="295"/>
      <c r="L631" s="295"/>
      <c r="M631" s="296"/>
      <c r="N631" s="267" t="s">
        <v>418</v>
      </c>
      <c r="O631" s="295"/>
      <c r="P631" s="295"/>
      <c r="Q631" s="296"/>
      <c r="R631" s="267" t="s">
        <v>419</v>
      </c>
      <c r="S631" s="297"/>
      <c r="T631" s="297"/>
      <c r="U631" s="243"/>
      <c r="X631" s="273"/>
      <c r="Y631" s="273"/>
      <c r="Z631" s="273"/>
      <c r="AB631" s="273"/>
      <c r="AC631" s="273"/>
      <c r="AD631" s="273"/>
      <c r="AF631" s="273"/>
      <c r="AG631" s="273"/>
      <c r="AH631" s="273"/>
      <c r="AJ631" s="273"/>
      <c r="AK631" s="273"/>
      <c r="AL631" s="273"/>
    </row>
    <row r="632" spans="1:38">
      <c r="A632" s="9"/>
      <c r="B632" s="260"/>
      <c r="C632" s="238"/>
      <c r="D632" s="299"/>
      <c r="E632" s="299"/>
      <c r="F632" s="267" t="s">
        <v>421</v>
      </c>
      <c r="G632" s="295" t="s">
        <v>437</v>
      </c>
      <c r="H632" s="295"/>
      <c r="J632" s="267" t="str">
        <f t="shared" si="47"/>
        <v>HOL:</v>
      </c>
      <c r="K632" s="295"/>
      <c r="L632" s="295"/>
      <c r="M632" s="296"/>
      <c r="N632" s="267" t="s">
        <v>421</v>
      </c>
      <c r="O632" s="295"/>
      <c r="P632" s="295"/>
      <c r="Q632" s="296"/>
      <c r="R632" s="267" t="s">
        <v>391</v>
      </c>
      <c r="S632" s="297"/>
      <c r="T632" s="297"/>
      <c r="U632" s="243"/>
      <c r="X632" s="273"/>
      <c r="Y632" s="273"/>
      <c r="Z632" s="273"/>
      <c r="AB632" s="273"/>
      <c r="AC632" s="273"/>
      <c r="AD632" s="273"/>
      <c r="AF632" s="273"/>
      <c r="AG632" s="273"/>
      <c r="AH632" s="273"/>
      <c r="AJ632" s="273"/>
      <c r="AK632" s="273"/>
      <c r="AL632" s="273"/>
    </row>
    <row r="633" spans="1:38">
      <c r="A633" s="9"/>
      <c r="B633" s="260"/>
      <c r="C633" s="300"/>
      <c r="D633" s="300"/>
      <c r="E633" s="300"/>
      <c r="F633" s="267" t="s">
        <v>424</v>
      </c>
      <c r="G633" s="295" t="s">
        <v>438</v>
      </c>
      <c r="H633" s="295"/>
      <c r="J633" s="267" t="str">
        <f t="shared" si="47"/>
        <v>HDD:</v>
      </c>
      <c r="K633" s="295"/>
      <c r="L633" s="295"/>
      <c r="M633" s="296"/>
      <c r="N633" s="267" t="s">
        <v>424</v>
      </c>
      <c r="O633" s="295"/>
      <c r="P633" s="295"/>
      <c r="Q633" s="296"/>
      <c r="R633" s="267" t="s">
        <v>426</v>
      </c>
      <c r="S633" s="297"/>
      <c r="T633" s="297"/>
      <c r="U633" s="243"/>
    </row>
    <row r="634" spans="1:38">
      <c r="A634" s="9"/>
      <c r="B634" s="260"/>
      <c r="C634" s="300"/>
      <c r="D634" s="300"/>
      <c r="E634" s="300"/>
      <c r="F634" s="267" t="s">
        <v>429</v>
      </c>
      <c r="G634" s="295" t="s">
        <v>439</v>
      </c>
      <c r="H634" s="295"/>
      <c r="I634" s="296"/>
      <c r="J634" s="267" t="str">
        <f t="shared" si="47"/>
        <v>CDD:</v>
      </c>
      <c r="K634" s="295"/>
      <c r="L634" s="295"/>
      <c r="M634" s="296"/>
      <c r="N634" s="267" t="s">
        <v>429</v>
      </c>
      <c r="O634" s="295"/>
      <c r="P634" s="295"/>
      <c r="Q634" s="296"/>
      <c r="R634" s="267" t="s">
        <v>431</v>
      </c>
      <c r="S634" s="297"/>
      <c r="T634" s="297"/>
      <c r="U634" s="243"/>
    </row>
    <row r="635" spans="1:38">
      <c r="A635" s="9"/>
      <c r="B635" s="301"/>
      <c r="C635" s="301"/>
      <c r="D635" s="301"/>
      <c r="E635" s="301"/>
      <c r="F635" s="301"/>
      <c r="G635" s="301"/>
      <c r="H635" s="301"/>
      <c r="I635" s="301"/>
      <c r="J635" s="301"/>
      <c r="K635" s="301"/>
      <c r="L635" s="301"/>
      <c r="M635" s="301"/>
      <c r="N635" s="301"/>
      <c r="O635" s="301"/>
      <c r="P635" s="301"/>
      <c r="Q635" s="301"/>
      <c r="R635" s="301"/>
      <c r="S635" s="301"/>
      <c r="T635" s="301"/>
      <c r="U635" s="2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4"/>
  <sheetViews>
    <sheetView zoomScaleNormal="100" zoomScalePageLayoutView="60" workbookViewId="0"/>
  </sheetViews>
  <sheetFormatPr defaultRowHeight="14.25"/>
  <cols>
    <col min="1" max="1" width="39.875" style="1"/>
    <col min="2" max="2" width="16.25" style="1"/>
    <col min="3" max="3" width="13.25" style="1"/>
    <col min="4" max="4" width="9.75" style="1"/>
    <col min="5" max="28" width="5" style="1"/>
    <col min="29" max="29" width="49.125" style="1"/>
    <col min="30" max="1025" width="11.75" style="1"/>
  </cols>
  <sheetData>
    <row r="1" spans="1:47" s="302" customFormat="1" ht="11.25">
      <c r="A1" s="302" t="s">
        <v>440</v>
      </c>
      <c r="B1" s="302" t="s">
        <v>441</v>
      </c>
      <c r="C1" s="302" t="s">
        <v>442</v>
      </c>
      <c r="E1" s="302" t="s">
        <v>443</v>
      </c>
      <c r="F1" s="302" t="s">
        <v>444</v>
      </c>
      <c r="G1" s="302" t="s">
        <v>445</v>
      </c>
      <c r="H1" s="302" t="s">
        <v>446</v>
      </c>
      <c r="I1" s="302" t="s">
        <v>447</v>
      </c>
      <c r="J1" s="302" t="s">
        <v>448</v>
      </c>
      <c r="K1" s="302" t="s">
        <v>449</v>
      </c>
      <c r="L1" s="302" t="s">
        <v>450</v>
      </c>
      <c r="M1" s="302" t="s">
        <v>451</v>
      </c>
      <c r="N1" s="302" t="s">
        <v>452</v>
      </c>
      <c r="O1" s="302" t="s">
        <v>453</v>
      </c>
      <c r="P1" s="302" t="s">
        <v>454</v>
      </c>
      <c r="Q1" s="302" t="s">
        <v>455</v>
      </c>
      <c r="R1" s="302" t="s">
        <v>456</v>
      </c>
      <c r="S1" s="302" t="s">
        <v>457</v>
      </c>
      <c r="T1" s="302" t="s">
        <v>458</v>
      </c>
      <c r="U1" s="302" t="s">
        <v>459</v>
      </c>
      <c r="V1" s="302" t="s">
        <v>460</v>
      </c>
      <c r="W1" s="302" t="s">
        <v>461</v>
      </c>
      <c r="X1" s="302" t="s">
        <v>462</v>
      </c>
      <c r="Y1" s="302" t="s">
        <v>463</v>
      </c>
      <c r="Z1" s="302" t="s">
        <v>464</v>
      </c>
      <c r="AA1" s="302" t="s">
        <v>465</v>
      </c>
      <c r="AB1" s="302" t="s">
        <v>466</v>
      </c>
    </row>
    <row r="2" spans="1:47" ht="15">
      <c r="A2" s="303" t="s">
        <v>467</v>
      </c>
      <c r="C2" s="296"/>
    </row>
    <row r="3" spans="1:47" ht="12.75" customHeight="1">
      <c r="A3" s="304" t="s">
        <v>468</v>
      </c>
      <c r="B3" s="305" t="s">
        <v>469</v>
      </c>
      <c r="C3" s="437" t="s">
        <v>470</v>
      </c>
      <c r="D3" s="437"/>
      <c r="E3" s="438" t="s">
        <v>471</v>
      </c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</row>
    <row r="4" spans="1:47">
      <c r="A4" s="306" t="str">
        <f>" "</f>
        <v xml:space="preserve"> </v>
      </c>
      <c r="B4" s="307"/>
      <c r="C4" s="308"/>
      <c r="D4" s="309"/>
      <c r="E4" s="308">
        <v>1</v>
      </c>
      <c r="F4" s="308">
        <v>2</v>
      </c>
      <c r="G4" s="308">
        <v>3</v>
      </c>
      <c r="H4" s="308">
        <v>4</v>
      </c>
      <c r="I4" s="308">
        <v>5</v>
      </c>
      <c r="J4" s="308">
        <v>6</v>
      </c>
      <c r="K4" s="308">
        <v>7</v>
      </c>
      <c r="L4" s="308">
        <v>8</v>
      </c>
      <c r="M4" s="308">
        <v>9</v>
      </c>
      <c r="N4" s="308">
        <v>10</v>
      </c>
      <c r="O4" s="308">
        <v>11</v>
      </c>
      <c r="P4" s="308">
        <v>12</v>
      </c>
      <c r="Q4" s="308">
        <v>13</v>
      </c>
      <c r="R4" s="308">
        <v>14</v>
      </c>
      <c r="S4" s="308">
        <v>15</v>
      </c>
      <c r="T4" s="308">
        <v>16</v>
      </c>
      <c r="U4" s="308">
        <v>17</v>
      </c>
      <c r="V4" s="308">
        <v>18</v>
      </c>
      <c r="W4" s="308">
        <v>19</v>
      </c>
      <c r="X4" s="308">
        <v>20</v>
      </c>
      <c r="Y4" s="308">
        <v>21</v>
      </c>
      <c r="Z4" s="308">
        <v>22</v>
      </c>
      <c r="AA4" s="308">
        <v>23</v>
      </c>
      <c r="AB4" s="310">
        <v>24</v>
      </c>
    </row>
    <row r="5" spans="1:47">
      <c r="A5" s="1" t="s">
        <v>430</v>
      </c>
      <c r="B5" s="311" t="s">
        <v>385</v>
      </c>
      <c r="C5" s="312" t="str">
        <f t="shared" ref="C5:C36" si="0">IF(A5="","",IF(VLOOKUP(B5,$AS$6:$AT$21,2,0)=" ",IF(D5=" ","Select  --&gt;",""),IF(NOT(D5=" "),"Deselect ! --&gt;",VLOOKUP(B5,$AS$6:$AT$21,2,0))))</f>
        <v/>
      </c>
      <c r="D5" s="235" t="s">
        <v>393</v>
      </c>
      <c r="E5" s="266">
        <v>1</v>
      </c>
      <c r="F5" s="266">
        <v>1</v>
      </c>
      <c r="G5" s="266">
        <v>1</v>
      </c>
      <c r="H5" s="266">
        <v>1</v>
      </c>
      <c r="I5" s="266">
        <v>1</v>
      </c>
      <c r="J5" s="266">
        <v>1</v>
      </c>
      <c r="K5" s="266">
        <v>1</v>
      </c>
      <c r="L5" s="266">
        <v>1</v>
      </c>
      <c r="M5" s="266">
        <v>1</v>
      </c>
      <c r="N5" s="266">
        <v>1</v>
      </c>
      <c r="O5" s="266">
        <v>1</v>
      </c>
      <c r="P5" s="266">
        <v>1</v>
      </c>
      <c r="Q5" s="266">
        <v>1</v>
      </c>
      <c r="R5" s="266">
        <v>1</v>
      </c>
      <c r="S5" s="266">
        <v>1</v>
      </c>
      <c r="T5" s="266">
        <v>1</v>
      </c>
      <c r="U5" s="266">
        <v>1</v>
      </c>
      <c r="V5" s="266">
        <v>1</v>
      </c>
      <c r="W5" s="266">
        <v>1</v>
      </c>
      <c r="X5" s="266">
        <v>1</v>
      </c>
      <c r="Y5" s="266">
        <v>1</v>
      </c>
      <c r="Z5" s="266">
        <v>1</v>
      </c>
      <c r="AA5" s="266">
        <v>1</v>
      </c>
      <c r="AB5" s="266">
        <v>1</v>
      </c>
      <c r="AC5" s="313" t="str">
        <f ca="1">IF(ISNA(VLOOKUP(A5,D!$B$4:$B$103,1,0)),"","Schedules and Day Schedules can't have same name!")</f>
        <v/>
      </c>
      <c r="AS5" s="314" t="s">
        <v>372</v>
      </c>
      <c r="AT5" s="314" t="s">
        <v>373</v>
      </c>
      <c r="AU5" s="1" t="s">
        <v>374</v>
      </c>
    </row>
    <row r="6" spans="1:47">
      <c r="A6" s="1" t="s">
        <v>425</v>
      </c>
      <c r="B6" s="311" t="s">
        <v>385</v>
      </c>
      <c r="C6" s="312" t="str">
        <f t="shared" si="0"/>
        <v/>
      </c>
      <c r="D6" s="235" t="s">
        <v>393</v>
      </c>
      <c r="E6" s="266">
        <v>0</v>
      </c>
      <c r="F6" s="266">
        <v>0</v>
      </c>
      <c r="G6" s="266">
        <v>0</v>
      </c>
      <c r="H6" s="266">
        <v>0</v>
      </c>
      <c r="I6" s="266">
        <v>0</v>
      </c>
      <c r="J6" s="266">
        <v>0</v>
      </c>
      <c r="K6" s="266">
        <v>1</v>
      </c>
      <c r="L6" s="266">
        <v>1</v>
      </c>
      <c r="M6" s="266">
        <v>1</v>
      </c>
      <c r="N6" s="266">
        <v>1</v>
      </c>
      <c r="O6" s="266">
        <v>1</v>
      </c>
      <c r="P6" s="266">
        <v>1</v>
      </c>
      <c r="Q6" s="266">
        <v>1</v>
      </c>
      <c r="R6" s="266">
        <v>1</v>
      </c>
      <c r="S6" s="266">
        <v>1</v>
      </c>
      <c r="T6" s="266">
        <v>1</v>
      </c>
      <c r="U6" s="266">
        <v>1</v>
      </c>
      <c r="V6" s="266">
        <v>1</v>
      </c>
      <c r="W6" s="266">
        <v>1</v>
      </c>
      <c r="X6" s="266">
        <v>0</v>
      </c>
      <c r="Y6" s="266">
        <v>0</v>
      </c>
      <c r="Z6" s="266">
        <v>0</v>
      </c>
      <c r="AA6" s="266">
        <v>0</v>
      </c>
      <c r="AB6" s="266">
        <v>0</v>
      </c>
      <c r="AC6" s="313" t="str">
        <f ca="1">IF(ISNA(VLOOKUP(A6,D!$B$4:$B$103,1,0)),"","Schedules and Day Schedules can't have same name!")</f>
        <v/>
      </c>
      <c r="AS6" s="1" t="str">
        <f>" "</f>
        <v xml:space="preserve"> </v>
      </c>
      <c r="AT6" s="1" t="str">
        <f>" "</f>
        <v xml:space="preserve"> </v>
      </c>
      <c r="AU6" s="1" t="str">
        <f>" "</f>
        <v xml:space="preserve"> </v>
      </c>
    </row>
    <row r="7" spans="1:47">
      <c r="A7" s="1" t="s">
        <v>472</v>
      </c>
      <c r="B7" s="311" t="s">
        <v>385</v>
      </c>
      <c r="C7" s="312" t="str">
        <f t="shared" si="0"/>
        <v/>
      </c>
      <c r="D7" s="235" t="s">
        <v>386</v>
      </c>
      <c r="E7" s="311" t="s">
        <v>473</v>
      </c>
      <c r="F7" s="311" t="s">
        <v>473</v>
      </c>
      <c r="G7" s="311" t="s">
        <v>473</v>
      </c>
      <c r="H7" s="311" t="s">
        <v>473</v>
      </c>
      <c r="I7" s="311" t="s">
        <v>473</v>
      </c>
      <c r="J7" s="311" t="s">
        <v>473</v>
      </c>
      <c r="K7" s="311" t="s">
        <v>473</v>
      </c>
      <c r="L7" s="311" t="s">
        <v>473</v>
      </c>
      <c r="M7" s="311" t="s">
        <v>473</v>
      </c>
      <c r="N7" s="311" t="s">
        <v>473</v>
      </c>
      <c r="O7" s="311" t="s">
        <v>473</v>
      </c>
      <c r="P7" s="311" t="s">
        <v>473</v>
      </c>
      <c r="Q7" s="311" t="s">
        <v>473</v>
      </c>
      <c r="R7" s="311" t="s">
        <v>473</v>
      </c>
      <c r="S7" s="311" t="s">
        <v>473</v>
      </c>
      <c r="T7" s="311" t="s">
        <v>473</v>
      </c>
      <c r="U7" s="311" t="s">
        <v>473</v>
      </c>
      <c r="V7" s="311" t="s">
        <v>473</v>
      </c>
      <c r="W7" s="311" t="s">
        <v>473</v>
      </c>
      <c r="X7" s="311" t="s">
        <v>473</v>
      </c>
      <c r="Y7" s="311" t="s">
        <v>473</v>
      </c>
      <c r="Z7" s="311" t="s">
        <v>473</v>
      </c>
      <c r="AA7" s="311" t="s">
        <v>473</v>
      </c>
      <c r="AB7" s="311" t="s">
        <v>473</v>
      </c>
      <c r="AC7" s="313" t="str">
        <f ca="1">IF(ISNA(VLOOKUP(A7,D!$B$4:$B$103,1,0)),"","Schedules and Day Schedules can't have same name!")</f>
        <v/>
      </c>
      <c r="AS7" s="1" t="s">
        <v>385</v>
      </c>
      <c r="AT7" s="1" t="str">
        <f>" "</f>
        <v xml:space="preserve"> </v>
      </c>
      <c r="AU7" s="1" t="s">
        <v>386</v>
      </c>
    </row>
    <row r="8" spans="1:47">
      <c r="A8" s="1" t="s">
        <v>474</v>
      </c>
      <c r="B8" s="311" t="s">
        <v>385</v>
      </c>
      <c r="C8" s="312" t="str">
        <f t="shared" si="0"/>
        <v/>
      </c>
      <c r="D8" s="235" t="s">
        <v>386</v>
      </c>
      <c r="E8" s="266" t="s">
        <v>475</v>
      </c>
      <c r="F8" s="266" t="s">
        <v>475</v>
      </c>
      <c r="G8" s="266" t="s">
        <v>475</v>
      </c>
      <c r="H8" s="266" t="s">
        <v>475</v>
      </c>
      <c r="I8" s="266" t="s">
        <v>475</v>
      </c>
      <c r="J8" s="266" t="s">
        <v>475</v>
      </c>
      <c r="K8" s="266" t="s">
        <v>475</v>
      </c>
      <c r="L8" s="266" t="s">
        <v>475</v>
      </c>
      <c r="M8" s="266" t="s">
        <v>475</v>
      </c>
      <c r="N8" s="266" t="s">
        <v>475</v>
      </c>
      <c r="O8" s="266" t="s">
        <v>475</v>
      </c>
      <c r="P8" s="266" t="s">
        <v>475</v>
      </c>
      <c r="Q8" s="266" t="s">
        <v>475</v>
      </c>
      <c r="R8" s="266" t="s">
        <v>475</v>
      </c>
      <c r="S8" s="266" t="s">
        <v>475</v>
      </c>
      <c r="T8" s="266" t="s">
        <v>475</v>
      </c>
      <c r="U8" s="266" t="s">
        <v>475</v>
      </c>
      <c r="V8" s="266" t="s">
        <v>475</v>
      </c>
      <c r="W8" s="266" t="s">
        <v>475</v>
      </c>
      <c r="X8" s="266" t="s">
        <v>475</v>
      </c>
      <c r="Y8" s="266" t="s">
        <v>475</v>
      </c>
      <c r="Z8" s="266" t="s">
        <v>475</v>
      </c>
      <c r="AA8" s="266" t="s">
        <v>475</v>
      </c>
      <c r="AB8" s="266" t="s">
        <v>475</v>
      </c>
      <c r="AC8" s="313" t="str">
        <f ca="1">IF(ISNA(VLOOKUP(A8,D!$B$4:$B$103,1,0)),"","Schedules and Day Schedules can't have same name!")</f>
        <v/>
      </c>
      <c r="AS8" s="1" t="s">
        <v>387</v>
      </c>
      <c r="AT8" s="1" t="s">
        <v>386</v>
      </c>
      <c r="AU8" s="1" t="s">
        <v>388</v>
      </c>
    </row>
    <row r="9" spans="1:47">
      <c r="A9" s="1" t="s">
        <v>390</v>
      </c>
      <c r="B9" s="311" t="s">
        <v>420</v>
      </c>
      <c r="C9" s="312" t="str">
        <f t="shared" si="0"/>
        <v>Deselect ! --&gt;</v>
      </c>
      <c r="D9" s="235" t="s">
        <v>93</v>
      </c>
      <c r="E9" s="266">
        <v>0</v>
      </c>
      <c r="F9" s="266">
        <v>0</v>
      </c>
      <c r="G9" s="266">
        <v>0</v>
      </c>
      <c r="H9" s="266">
        <v>0</v>
      </c>
      <c r="I9" s="266">
        <v>0</v>
      </c>
      <c r="J9" s="266">
        <v>0</v>
      </c>
      <c r="K9" s="266">
        <v>1</v>
      </c>
      <c r="L9" s="266">
        <v>1</v>
      </c>
      <c r="M9" s="266">
        <v>1</v>
      </c>
      <c r="N9" s="266">
        <v>1</v>
      </c>
      <c r="O9" s="266">
        <v>1</v>
      </c>
      <c r="P9" s="266">
        <v>1</v>
      </c>
      <c r="Q9" s="266">
        <v>1</v>
      </c>
      <c r="R9" s="266">
        <v>1</v>
      </c>
      <c r="S9" s="266">
        <v>1</v>
      </c>
      <c r="T9" s="266">
        <v>1</v>
      </c>
      <c r="U9" s="266">
        <v>1</v>
      </c>
      <c r="V9" s="266">
        <v>1</v>
      </c>
      <c r="W9" s="266">
        <v>1</v>
      </c>
      <c r="X9" s="266">
        <v>0</v>
      </c>
      <c r="Y9" s="266">
        <v>0</v>
      </c>
      <c r="Z9" s="266">
        <v>0</v>
      </c>
      <c r="AA9" s="266">
        <v>0</v>
      </c>
      <c r="AB9" s="266">
        <v>0</v>
      </c>
      <c r="AC9" s="313" t="str">
        <f ca="1">IF(ISNA(VLOOKUP(A9,D!$B$4:$B$103,1,0)),"","Schedules and Day Schedules can't have same name!")</f>
        <v/>
      </c>
      <c r="AS9" s="1" t="s">
        <v>392</v>
      </c>
      <c r="AT9" s="1" t="s">
        <v>386</v>
      </c>
      <c r="AU9" s="1" t="s">
        <v>393</v>
      </c>
    </row>
    <row r="10" spans="1:47">
      <c r="A10" s="1" t="s">
        <v>476</v>
      </c>
      <c r="B10" s="311" t="s">
        <v>422</v>
      </c>
      <c r="C10" s="312" t="str">
        <f t="shared" si="0"/>
        <v>Deselect ! --&gt;</v>
      </c>
      <c r="D10" s="235" t="s">
        <v>93</v>
      </c>
      <c r="E10" s="266">
        <v>0</v>
      </c>
      <c r="F10" s="266">
        <v>0</v>
      </c>
      <c r="G10" s="266">
        <v>0</v>
      </c>
      <c r="H10" s="266">
        <v>0</v>
      </c>
      <c r="I10" s="266">
        <v>0</v>
      </c>
      <c r="J10" s="266">
        <v>0</v>
      </c>
      <c r="K10" s="266">
        <v>1</v>
      </c>
      <c r="L10" s="266">
        <v>1</v>
      </c>
      <c r="M10" s="266">
        <v>1</v>
      </c>
      <c r="N10" s="266">
        <v>1</v>
      </c>
      <c r="O10" s="266">
        <v>1</v>
      </c>
      <c r="P10" s="266">
        <v>1</v>
      </c>
      <c r="Q10" s="266">
        <v>1</v>
      </c>
      <c r="R10" s="266">
        <v>1</v>
      </c>
      <c r="S10" s="266">
        <v>1</v>
      </c>
      <c r="T10" s="266">
        <v>1</v>
      </c>
      <c r="U10" s="266">
        <v>1</v>
      </c>
      <c r="V10" s="266">
        <v>1</v>
      </c>
      <c r="W10" s="266">
        <v>1</v>
      </c>
      <c r="X10" s="266">
        <v>0</v>
      </c>
      <c r="Y10" s="266">
        <v>0</v>
      </c>
      <c r="Z10" s="266">
        <v>0</v>
      </c>
      <c r="AA10" s="266">
        <v>0</v>
      </c>
      <c r="AB10" s="266">
        <v>0</v>
      </c>
      <c r="AC10" s="313" t="str">
        <f ca="1">IF(ISNA(VLOOKUP(A10,D!$B$4:$B$103,1,0)),"","Schedules and Day Schedules can't have same name!")</f>
        <v/>
      </c>
      <c r="AS10" s="1" t="s">
        <v>398</v>
      </c>
      <c r="AT10" s="1" t="s">
        <v>386</v>
      </c>
      <c r="AU10" s="1" t="s">
        <v>399</v>
      </c>
    </row>
    <row r="11" spans="1:47">
      <c r="A11" s="1" t="s">
        <v>477</v>
      </c>
      <c r="B11" s="311" t="s">
        <v>427</v>
      </c>
      <c r="C11" s="312" t="str">
        <f t="shared" si="0"/>
        <v>Deselect ! --&gt;</v>
      </c>
      <c r="D11" s="235" t="s">
        <v>93</v>
      </c>
      <c r="E11" s="266">
        <v>0</v>
      </c>
      <c r="F11" s="266">
        <v>0</v>
      </c>
      <c r="G11" s="266">
        <v>0</v>
      </c>
      <c r="H11" s="266">
        <v>0</v>
      </c>
      <c r="I11" s="266">
        <v>0</v>
      </c>
      <c r="J11" s="266">
        <v>0</v>
      </c>
      <c r="K11" s="266">
        <v>1</v>
      </c>
      <c r="L11" s="266">
        <v>1</v>
      </c>
      <c r="M11" s="266">
        <v>1</v>
      </c>
      <c r="N11" s="266">
        <v>1</v>
      </c>
      <c r="O11" s="266">
        <v>1</v>
      </c>
      <c r="P11" s="266">
        <v>1</v>
      </c>
      <c r="Q11" s="266">
        <v>1</v>
      </c>
      <c r="R11" s="266">
        <v>1</v>
      </c>
      <c r="S11" s="266">
        <v>1</v>
      </c>
      <c r="T11" s="266">
        <v>1</v>
      </c>
      <c r="U11" s="266">
        <v>1</v>
      </c>
      <c r="V11" s="266">
        <v>1</v>
      </c>
      <c r="W11" s="266">
        <v>1</v>
      </c>
      <c r="X11" s="266">
        <v>0</v>
      </c>
      <c r="Y11" s="266">
        <v>0</v>
      </c>
      <c r="Z11" s="266">
        <v>0</v>
      </c>
      <c r="AA11" s="266">
        <v>0</v>
      </c>
      <c r="AB11" s="266">
        <v>0</v>
      </c>
      <c r="AC11" s="313" t="str">
        <f ca="1">IF(ISNA(VLOOKUP(A11,D!$B$4:$B$103,1,0)),"","Schedules and Day Schedules can't have same name!")</f>
        <v/>
      </c>
      <c r="AS11" s="1" t="s">
        <v>404</v>
      </c>
      <c r="AT11" s="1" t="s">
        <v>386</v>
      </c>
      <c r="AU11" s="1" t="s">
        <v>478</v>
      </c>
    </row>
    <row r="12" spans="1:47">
      <c r="A12" s="1" t="s">
        <v>479</v>
      </c>
      <c r="B12" s="311" t="s">
        <v>392</v>
      </c>
      <c r="C12" s="312" t="str">
        <f t="shared" si="0"/>
        <v>Deselect ! --&gt;</v>
      </c>
      <c r="D12" s="235" t="s">
        <v>93</v>
      </c>
      <c r="E12" s="266" t="s">
        <v>475</v>
      </c>
      <c r="F12" s="266" t="s">
        <v>475</v>
      </c>
      <c r="G12" s="266" t="s">
        <v>475</v>
      </c>
      <c r="H12" s="266" t="s">
        <v>475</v>
      </c>
      <c r="I12" s="266" t="s">
        <v>475</v>
      </c>
      <c r="J12" s="266" t="s">
        <v>473</v>
      </c>
      <c r="K12" s="266" t="s">
        <v>473</v>
      </c>
      <c r="L12" s="266" t="s">
        <v>473</v>
      </c>
      <c r="M12" s="266" t="s">
        <v>473</v>
      </c>
      <c r="N12" s="266" t="s">
        <v>473</v>
      </c>
      <c r="O12" s="266" t="s">
        <v>473</v>
      </c>
      <c r="P12" s="266" t="s">
        <v>473</v>
      </c>
      <c r="Q12" s="266" t="s">
        <v>473</v>
      </c>
      <c r="R12" s="266" t="s">
        <v>473</v>
      </c>
      <c r="S12" s="266" t="s">
        <v>473</v>
      </c>
      <c r="T12" s="266" t="s">
        <v>473</v>
      </c>
      <c r="U12" s="266" t="s">
        <v>473</v>
      </c>
      <c r="V12" s="266" t="s">
        <v>473</v>
      </c>
      <c r="W12" s="266" t="s">
        <v>473</v>
      </c>
      <c r="X12" s="266" t="s">
        <v>475</v>
      </c>
      <c r="Y12" s="266" t="s">
        <v>475</v>
      </c>
      <c r="Z12" s="266" t="s">
        <v>475</v>
      </c>
      <c r="AA12" s="266" t="s">
        <v>475</v>
      </c>
      <c r="AB12" s="266" t="s">
        <v>475</v>
      </c>
      <c r="AC12" s="313" t="str">
        <f ca="1">IF(ISNA(VLOOKUP(A12,D!$B$4:$B$103,1,0)),"","Schedules and Day Schedules can't have same name!")</f>
        <v/>
      </c>
      <c r="AS12" s="1" t="s">
        <v>409</v>
      </c>
      <c r="AT12" s="1" t="s">
        <v>388</v>
      </c>
      <c r="AU12" s="1" t="s">
        <v>480</v>
      </c>
    </row>
    <row r="13" spans="1:47">
      <c r="A13" s="1" t="s">
        <v>481</v>
      </c>
      <c r="B13" s="311" t="s">
        <v>387</v>
      </c>
      <c r="C13" s="312" t="str">
        <f t="shared" si="0"/>
        <v>Deselect ! --&gt;</v>
      </c>
      <c r="D13" s="235" t="s">
        <v>93</v>
      </c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3" t="str">
        <f ca="1">IF(ISNA(VLOOKUP(A13,D!$B$4:$B$103,1,0)),"","Schedules and Day Schedules can't have same name!")</f>
        <v/>
      </c>
      <c r="AS13" s="1" t="s">
        <v>413</v>
      </c>
      <c r="AT13" s="1" t="s">
        <v>388</v>
      </c>
      <c r="AU13" s="1" t="str">
        <f t="shared" ref="AU13:AU26" si="1">" "</f>
        <v xml:space="preserve"> </v>
      </c>
    </row>
    <row r="14" spans="1:47">
      <c r="A14" s="1" t="s">
        <v>482</v>
      </c>
      <c r="B14" s="311" t="s">
        <v>387</v>
      </c>
      <c r="C14" s="312" t="str">
        <f t="shared" si="0"/>
        <v>Deselect ! --&gt;</v>
      </c>
      <c r="D14" s="235" t="s">
        <v>93</v>
      </c>
      <c r="E14" s="311">
        <v>27</v>
      </c>
      <c r="F14" s="311">
        <v>27</v>
      </c>
      <c r="G14" s="311">
        <v>27</v>
      </c>
      <c r="H14" s="311">
        <v>27</v>
      </c>
      <c r="I14" s="311">
        <v>27</v>
      </c>
      <c r="J14" s="311">
        <v>27</v>
      </c>
      <c r="K14" s="311">
        <v>24</v>
      </c>
      <c r="L14" s="311">
        <v>24</v>
      </c>
      <c r="M14" s="311">
        <v>24</v>
      </c>
      <c r="N14" s="311">
        <v>24</v>
      </c>
      <c r="O14" s="311">
        <v>24</v>
      </c>
      <c r="P14" s="311">
        <v>24</v>
      </c>
      <c r="Q14" s="311">
        <v>24</v>
      </c>
      <c r="R14" s="311">
        <v>24</v>
      </c>
      <c r="S14" s="311">
        <v>24</v>
      </c>
      <c r="T14" s="311">
        <v>24</v>
      </c>
      <c r="U14" s="311">
        <v>24</v>
      </c>
      <c r="V14" s="311">
        <v>24</v>
      </c>
      <c r="W14" s="311">
        <v>24</v>
      </c>
      <c r="X14" s="311">
        <v>27</v>
      </c>
      <c r="Y14" s="311">
        <v>27</v>
      </c>
      <c r="Z14" s="311">
        <v>27</v>
      </c>
      <c r="AA14" s="311">
        <v>27</v>
      </c>
      <c r="AB14" s="311">
        <v>27</v>
      </c>
      <c r="AC14" s="313" t="str">
        <f ca="1">IF(ISNA(VLOOKUP(A14,D!$B$4:$B$103,1,0)),"","Schedules and Day Schedules can't have same name!")</f>
        <v/>
      </c>
      <c r="AS14" s="1" t="s">
        <v>416</v>
      </c>
      <c r="AT14" s="1" t="s">
        <v>417</v>
      </c>
      <c r="AU14" s="1" t="str">
        <f t="shared" si="1"/>
        <v xml:space="preserve"> </v>
      </c>
    </row>
    <row r="15" spans="1:47">
      <c r="A15" s="1" t="s">
        <v>483</v>
      </c>
      <c r="B15" s="311" t="s">
        <v>387</v>
      </c>
      <c r="C15" s="312" t="str">
        <f t="shared" si="0"/>
        <v>Deselect ! --&gt;</v>
      </c>
      <c r="D15" s="235" t="s">
        <v>93</v>
      </c>
      <c r="E15" s="311">
        <v>27</v>
      </c>
      <c r="F15" s="311">
        <v>27</v>
      </c>
      <c r="G15" s="311">
        <v>27</v>
      </c>
      <c r="H15" s="311">
        <v>27</v>
      </c>
      <c r="I15" s="311">
        <v>27</v>
      </c>
      <c r="J15" s="311">
        <v>27</v>
      </c>
      <c r="K15" s="311">
        <v>24</v>
      </c>
      <c r="L15" s="311">
        <v>24</v>
      </c>
      <c r="M15" s="311">
        <v>24</v>
      </c>
      <c r="N15" s="311">
        <v>24</v>
      </c>
      <c r="O15" s="311">
        <v>24</v>
      </c>
      <c r="P15" s="311">
        <v>24</v>
      </c>
      <c r="Q15" s="311">
        <v>24</v>
      </c>
      <c r="R15" s="311">
        <v>24</v>
      </c>
      <c r="S15" s="311">
        <v>24</v>
      </c>
      <c r="T15" s="311">
        <v>24</v>
      </c>
      <c r="U15" s="311">
        <v>24</v>
      </c>
      <c r="V15" s="311">
        <v>24</v>
      </c>
      <c r="W15" s="311">
        <v>24</v>
      </c>
      <c r="X15" s="311">
        <v>27</v>
      </c>
      <c r="Y15" s="311">
        <v>27</v>
      </c>
      <c r="Z15" s="311">
        <v>27</v>
      </c>
      <c r="AA15" s="311">
        <v>27</v>
      </c>
      <c r="AB15" s="311">
        <v>27</v>
      </c>
      <c r="AC15" s="313" t="str">
        <f ca="1">IF(ISNA(VLOOKUP(A15,D!$B$4:$B$103,1,0)),"","Schedules and Day Schedules can't have same name!")</f>
        <v/>
      </c>
      <c r="AS15" s="1" t="s">
        <v>420</v>
      </c>
      <c r="AT15" s="1" t="s">
        <v>393</v>
      </c>
      <c r="AU15" s="1" t="str">
        <f t="shared" si="1"/>
        <v xml:space="preserve"> </v>
      </c>
    </row>
    <row r="16" spans="1:47">
      <c r="A16" s="1" t="s">
        <v>484</v>
      </c>
      <c r="B16" s="311" t="s">
        <v>387</v>
      </c>
      <c r="C16" s="312" t="str">
        <f t="shared" si="0"/>
        <v>Deselect ! --&gt;</v>
      </c>
      <c r="D16" s="235" t="s">
        <v>93</v>
      </c>
      <c r="E16" s="311">
        <v>27</v>
      </c>
      <c r="F16" s="311">
        <v>27</v>
      </c>
      <c r="G16" s="311">
        <v>27</v>
      </c>
      <c r="H16" s="311">
        <v>27</v>
      </c>
      <c r="I16" s="311">
        <v>27</v>
      </c>
      <c r="J16" s="311">
        <v>27</v>
      </c>
      <c r="K16" s="311">
        <v>24</v>
      </c>
      <c r="L16" s="311">
        <v>24</v>
      </c>
      <c r="M16" s="311">
        <v>24</v>
      </c>
      <c r="N16" s="311">
        <v>24</v>
      </c>
      <c r="O16" s="311">
        <v>24</v>
      </c>
      <c r="P16" s="311">
        <v>24</v>
      </c>
      <c r="Q16" s="311">
        <v>24</v>
      </c>
      <c r="R16" s="311">
        <v>24</v>
      </c>
      <c r="S16" s="311">
        <v>24</v>
      </c>
      <c r="T16" s="311">
        <v>24</v>
      </c>
      <c r="U16" s="311">
        <v>24</v>
      </c>
      <c r="V16" s="311">
        <v>24</v>
      </c>
      <c r="W16" s="311">
        <v>24</v>
      </c>
      <c r="X16" s="311">
        <v>27</v>
      </c>
      <c r="Y16" s="311">
        <v>27</v>
      </c>
      <c r="Z16" s="311">
        <v>27</v>
      </c>
      <c r="AA16" s="311">
        <v>27</v>
      </c>
      <c r="AB16" s="311">
        <v>27</v>
      </c>
      <c r="AC16" s="313" t="str">
        <f ca="1">IF(ISNA(VLOOKUP(A16,D!$B$4:$B$103,1,0)),"","Schedules and Day Schedules can't have same name!")</f>
        <v/>
      </c>
      <c r="AS16" s="1" t="s">
        <v>422</v>
      </c>
      <c r="AT16" s="1" t="s">
        <v>393</v>
      </c>
      <c r="AU16" s="1" t="str">
        <f t="shared" si="1"/>
        <v xml:space="preserve"> </v>
      </c>
    </row>
    <row r="17" spans="1:47">
      <c r="A17" s="1" t="s">
        <v>485</v>
      </c>
      <c r="B17" s="311" t="s">
        <v>387</v>
      </c>
      <c r="C17" s="312" t="str">
        <f t="shared" si="0"/>
        <v>Deselect ! --&gt;</v>
      </c>
      <c r="D17" s="235" t="s">
        <v>93</v>
      </c>
      <c r="E17" s="311">
        <v>19</v>
      </c>
      <c r="F17" s="311">
        <v>19</v>
      </c>
      <c r="G17" s="311">
        <v>19</v>
      </c>
      <c r="H17" s="311">
        <v>19</v>
      </c>
      <c r="I17" s="311">
        <v>19</v>
      </c>
      <c r="J17" s="311">
        <v>19</v>
      </c>
      <c r="K17" s="311">
        <v>22</v>
      </c>
      <c r="L17" s="311">
        <v>22</v>
      </c>
      <c r="M17" s="311">
        <v>22</v>
      </c>
      <c r="N17" s="311">
        <v>22</v>
      </c>
      <c r="O17" s="311">
        <v>22</v>
      </c>
      <c r="P17" s="311">
        <v>22</v>
      </c>
      <c r="Q17" s="311">
        <v>22</v>
      </c>
      <c r="R17" s="311">
        <v>22</v>
      </c>
      <c r="S17" s="311">
        <v>22</v>
      </c>
      <c r="T17" s="311">
        <v>22</v>
      </c>
      <c r="U17" s="311">
        <v>22</v>
      </c>
      <c r="V17" s="311">
        <v>22</v>
      </c>
      <c r="W17" s="311">
        <v>22</v>
      </c>
      <c r="X17" s="311">
        <v>19</v>
      </c>
      <c r="Y17" s="311">
        <v>19</v>
      </c>
      <c r="Z17" s="311">
        <v>19</v>
      </c>
      <c r="AA17" s="311">
        <v>19</v>
      </c>
      <c r="AB17" s="311">
        <v>19</v>
      </c>
      <c r="AC17" s="313" t="str">
        <f ca="1">IF(ISNA(VLOOKUP(A17,D!$B$4:$B$103,1,0)),"","Schedules and Day Schedules can't have same name!")</f>
        <v/>
      </c>
      <c r="AS17" s="1" t="s">
        <v>427</v>
      </c>
      <c r="AT17" s="1" t="s">
        <v>393</v>
      </c>
      <c r="AU17" s="1" t="str">
        <f t="shared" si="1"/>
        <v xml:space="preserve"> </v>
      </c>
    </row>
    <row r="18" spans="1:47">
      <c r="A18" s="1" t="s">
        <v>486</v>
      </c>
      <c r="B18" s="311" t="s">
        <v>413</v>
      </c>
      <c r="C18" s="312" t="str">
        <f t="shared" si="0"/>
        <v>Deselect ! --&gt;</v>
      </c>
      <c r="D18" s="235" t="s">
        <v>93</v>
      </c>
      <c r="E18" s="311">
        <v>27</v>
      </c>
      <c r="F18" s="311">
        <v>27</v>
      </c>
      <c r="G18" s="311">
        <v>27</v>
      </c>
      <c r="H18" s="311">
        <v>27</v>
      </c>
      <c r="I18" s="311">
        <v>27</v>
      </c>
      <c r="J18" s="311">
        <v>27</v>
      </c>
      <c r="K18" s="311">
        <v>24</v>
      </c>
      <c r="L18" s="311">
        <v>24</v>
      </c>
      <c r="M18" s="311">
        <v>24</v>
      </c>
      <c r="N18" s="311">
        <v>24</v>
      </c>
      <c r="O18" s="311">
        <v>24</v>
      </c>
      <c r="P18" s="311">
        <v>24</v>
      </c>
      <c r="Q18" s="311">
        <v>24</v>
      </c>
      <c r="R18" s="311">
        <v>24</v>
      </c>
      <c r="S18" s="311">
        <v>24</v>
      </c>
      <c r="T18" s="311">
        <v>24</v>
      </c>
      <c r="U18" s="311">
        <v>24</v>
      </c>
      <c r="V18" s="311">
        <v>24</v>
      </c>
      <c r="W18" s="311">
        <v>24</v>
      </c>
      <c r="X18" s="311">
        <v>27</v>
      </c>
      <c r="Y18" s="311">
        <v>27</v>
      </c>
      <c r="Z18" s="311">
        <v>27</v>
      </c>
      <c r="AA18" s="311">
        <v>27</v>
      </c>
      <c r="AB18" s="311">
        <v>27</v>
      </c>
      <c r="AC18" s="313" t="str">
        <f ca="1">IF(ISNA(VLOOKUP(A18,D!$B$4:$B$103,1,0)),"","Schedules and Day Schedules can't have same name!")</f>
        <v/>
      </c>
      <c r="AS18" s="1" t="s">
        <v>401</v>
      </c>
      <c r="AT18" s="1" t="str">
        <f t="shared" ref="AT18:AT26" si="2">" "</f>
        <v xml:space="preserve"> </v>
      </c>
      <c r="AU18" s="1" t="str">
        <f t="shared" si="1"/>
        <v xml:space="preserve"> </v>
      </c>
    </row>
    <row r="19" spans="1:47">
      <c r="A19" s="1" t="s">
        <v>487</v>
      </c>
      <c r="B19" s="311" t="s">
        <v>409</v>
      </c>
      <c r="C19" s="312" t="str">
        <f t="shared" si="0"/>
        <v>Deselect ! --&gt;</v>
      </c>
      <c r="D19" s="235" t="s">
        <v>93</v>
      </c>
      <c r="E19" s="311">
        <v>19</v>
      </c>
      <c r="F19" s="311">
        <v>19</v>
      </c>
      <c r="G19" s="311">
        <v>19</v>
      </c>
      <c r="H19" s="311">
        <v>19</v>
      </c>
      <c r="I19" s="311">
        <v>19</v>
      </c>
      <c r="J19" s="311">
        <v>19</v>
      </c>
      <c r="K19" s="311">
        <v>22</v>
      </c>
      <c r="L19" s="311">
        <v>22</v>
      </c>
      <c r="M19" s="311">
        <v>22</v>
      </c>
      <c r="N19" s="311">
        <v>22</v>
      </c>
      <c r="O19" s="311">
        <v>22</v>
      </c>
      <c r="P19" s="311">
        <v>22</v>
      </c>
      <c r="Q19" s="311">
        <v>22</v>
      </c>
      <c r="R19" s="311">
        <v>22</v>
      </c>
      <c r="S19" s="311">
        <v>22</v>
      </c>
      <c r="T19" s="311">
        <v>22</v>
      </c>
      <c r="U19" s="311">
        <v>22</v>
      </c>
      <c r="V19" s="311">
        <v>22</v>
      </c>
      <c r="W19" s="311">
        <v>22</v>
      </c>
      <c r="X19" s="311">
        <v>19</v>
      </c>
      <c r="Y19" s="311">
        <v>19</v>
      </c>
      <c r="Z19" s="311">
        <v>19</v>
      </c>
      <c r="AA19" s="311">
        <v>19</v>
      </c>
      <c r="AB19" s="311">
        <v>19</v>
      </c>
      <c r="AC19" s="313" t="str">
        <f ca="1">IF(ISNA(VLOOKUP(A19,D!$B$4:$B$103,1,0)),"","Schedules and Day Schedules can't have same name!")</f>
        <v/>
      </c>
      <c r="AS19" s="1" t="str">
        <f t="shared" ref="AS19:AS26" si="3">" "</f>
        <v xml:space="preserve"> </v>
      </c>
      <c r="AT19" s="1" t="str">
        <f t="shared" si="2"/>
        <v xml:space="preserve"> </v>
      </c>
      <c r="AU19" s="1" t="str">
        <f t="shared" si="1"/>
        <v xml:space="preserve"> </v>
      </c>
    </row>
    <row r="20" spans="1:47">
      <c r="B20" s="311" t="s">
        <v>93</v>
      </c>
      <c r="C20" s="312" t="str">
        <f t="shared" si="0"/>
        <v/>
      </c>
      <c r="D20" s="235" t="s">
        <v>93</v>
      </c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S20" s="1" t="str">
        <f t="shared" si="3"/>
        <v xml:space="preserve"> </v>
      </c>
      <c r="AT20" s="1" t="str">
        <f t="shared" si="2"/>
        <v xml:space="preserve"> </v>
      </c>
      <c r="AU20" s="1" t="str">
        <f t="shared" si="1"/>
        <v xml:space="preserve"> </v>
      </c>
    </row>
    <row r="21" spans="1:47">
      <c r="B21" s="311" t="s">
        <v>93</v>
      </c>
      <c r="C21" s="312" t="str">
        <f t="shared" si="0"/>
        <v/>
      </c>
      <c r="D21" s="235" t="s">
        <v>93</v>
      </c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S21" s="1" t="str">
        <f t="shared" si="3"/>
        <v xml:space="preserve"> </v>
      </c>
      <c r="AT21" s="1" t="str">
        <f t="shared" si="2"/>
        <v xml:space="preserve"> </v>
      </c>
      <c r="AU21" s="1" t="str">
        <f t="shared" si="1"/>
        <v xml:space="preserve"> </v>
      </c>
    </row>
    <row r="22" spans="1:47">
      <c r="B22" s="311" t="s">
        <v>93</v>
      </c>
      <c r="C22" s="312" t="str">
        <f t="shared" si="0"/>
        <v/>
      </c>
      <c r="D22" s="235" t="s">
        <v>93</v>
      </c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S22" s="1" t="str">
        <f t="shared" si="3"/>
        <v xml:space="preserve"> </v>
      </c>
      <c r="AT22" s="1" t="str">
        <f t="shared" si="2"/>
        <v xml:space="preserve"> </v>
      </c>
      <c r="AU22" s="1" t="str">
        <f t="shared" si="1"/>
        <v xml:space="preserve"> </v>
      </c>
    </row>
    <row r="23" spans="1:47">
      <c r="B23" s="311" t="s">
        <v>93</v>
      </c>
      <c r="C23" s="312" t="str">
        <f t="shared" si="0"/>
        <v/>
      </c>
      <c r="D23" s="235" t="s">
        <v>93</v>
      </c>
      <c r="AS23" s="1" t="str">
        <f t="shared" si="3"/>
        <v xml:space="preserve"> </v>
      </c>
      <c r="AT23" s="1" t="str">
        <f t="shared" si="2"/>
        <v xml:space="preserve"> </v>
      </c>
      <c r="AU23" s="1" t="str">
        <f t="shared" si="1"/>
        <v xml:space="preserve"> </v>
      </c>
    </row>
    <row r="24" spans="1:47">
      <c r="B24" s="311" t="s">
        <v>93</v>
      </c>
      <c r="C24" s="312" t="str">
        <f t="shared" si="0"/>
        <v/>
      </c>
      <c r="D24" s="235" t="s">
        <v>93</v>
      </c>
      <c r="AS24" s="1" t="str">
        <f t="shared" si="3"/>
        <v xml:space="preserve"> </v>
      </c>
      <c r="AT24" s="1" t="str">
        <f t="shared" si="2"/>
        <v xml:space="preserve"> </v>
      </c>
      <c r="AU24" s="1" t="str">
        <f t="shared" si="1"/>
        <v xml:space="preserve"> </v>
      </c>
    </row>
    <row r="25" spans="1:47">
      <c r="B25" s="311" t="s">
        <v>93</v>
      </c>
      <c r="C25" s="312" t="str">
        <f t="shared" si="0"/>
        <v/>
      </c>
      <c r="D25" s="235" t="s">
        <v>93</v>
      </c>
      <c r="AS25" s="1" t="str">
        <f t="shared" si="3"/>
        <v xml:space="preserve"> </v>
      </c>
      <c r="AT25" s="1" t="str">
        <f t="shared" si="2"/>
        <v xml:space="preserve"> </v>
      </c>
      <c r="AU25" s="1" t="str">
        <f t="shared" si="1"/>
        <v xml:space="preserve"> </v>
      </c>
    </row>
    <row r="26" spans="1:47">
      <c r="B26" s="311" t="s">
        <v>93</v>
      </c>
      <c r="C26" s="312" t="str">
        <f t="shared" si="0"/>
        <v/>
      </c>
      <c r="D26" s="235" t="s">
        <v>93</v>
      </c>
      <c r="AS26" s="1" t="str">
        <f t="shared" si="3"/>
        <v xml:space="preserve"> </v>
      </c>
      <c r="AT26" s="1" t="str">
        <f t="shared" si="2"/>
        <v xml:space="preserve"> </v>
      </c>
      <c r="AU26" s="1" t="str">
        <f t="shared" si="1"/>
        <v xml:space="preserve"> </v>
      </c>
    </row>
    <row r="27" spans="1:47">
      <c r="B27" s="311" t="s">
        <v>93</v>
      </c>
      <c r="C27" s="312" t="str">
        <f t="shared" si="0"/>
        <v/>
      </c>
      <c r="D27" s="235" t="s">
        <v>93</v>
      </c>
      <c r="AS27" s="1" t="s">
        <v>488</v>
      </c>
      <c r="AT27" s="1" t="s">
        <v>488</v>
      </c>
      <c r="AU27" s="1" t="s">
        <v>488</v>
      </c>
    </row>
    <row r="28" spans="1:47">
      <c r="B28" s="311" t="s">
        <v>93</v>
      </c>
      <c r="C28" s="312" t="str">
        <f t="shared" si="0"/>
        <v/>
      </c>
      <c r="D28" s="235" t="s">
        <v>93</v>
      </c>
    </row>
    <row r="29" spans="1:47">
      <c r="B29" s="311" t="s">
        <v>93</v>
      </c>
      <c r="C29" s="312" t="str">
        <f t="shared" si="0"/>
        <v/>
      </c>
      <c r="D29" s="235" t="s">
        <v>93</v>
      </c>
    </row>
    <row r="30" spans="1:47">
      <c r="B30" s="311" t="s">
        <v>93</v>
      </c>
      <c r="C30" s="312" t="str">
        <f t="shared" si="0"/>
        <v/>
      </c>
      <c r="D30" s="235" t="s">
        <v>93</v>
      </c>
    </row>
    <row r="31" spans="1:47">
      <c r="B31" s="311" t="s">
        <v>93</v>
      </c>
      <c r="C31" s="312" t="str">
        <f t="shared" si="0"/>
        <v/>
      </c>
      <c r="D31" s="235" t="s">
        <v>93</v>
      </c>
    </row>
    <row r="32" spans="1:47">
      <c r="B32" s="311" t="s">
        <v>93</v>
      </c>
      <c r="C32" s="312" t="str">
        <f t="shared" si="0"/>
        <v/>
      </c>
      <c r="D32" s="235" t="s">
        <v>93</v>
      </c>
    </row>
    <row r="33" spans="2:4">
      <c r="B33" s="311" t="s">
        <v>93</v>
      </c>
      <c r="C33" s="312" t="str">
        <f t="shared" si="0"/>
        <v/>
      </c>
      <c r="D33" s="235" t="s">
        <v>93</v>
      </c>
    </row>
    <row r="34" spans="2:4">
      <c r="B34" s="311" t="s">
        <v>93</v>
      </c>
      <c r="C34" s="312" t="str">
        <f t="shared" si="0"/>
        <v/>
      </c>
      <c r="D34" s="235" t="s">
        <v>93</v>
      </c>
    </row>
    <row r="35" spans="2:4">
      <c r="B35" s="311" t="s">
        <v>93</v>
      </c>
      <c r="C35" s="312" t="str">
        <f t="shared" si="0"/>
        <v/>
      </c>
      <c r="D35" s="235" t="s">
        <v>93</v>
      </c>
    </row>
    <row r="36" spans="2:4">
      <c r="B36" s="311" t="s">
        <v>93</v>
      </c>
      <c r="C36" s="312" t="str">
        <f t="shared" si="0"/>
        <v/>
      </c>
      <c r="D36" s="235" t="s">
        <v>93</v>
      </c>
    </row>
    <row r="37" spans="2:4">
      <c r="B37" s="311" t="s">
        <v>93</v>
      </c>
      <c r="C37" s="312" t="str">
        <f t="shared" ref="C37:C68" si="4">IF(A37="","",IF(VLOOKUP(B37,$AS$6:$AT$21,2,0)=" ",IF(D37=" ","Select  --&gt;",""),IF(NOT(D37=" "),"Deselect ! --&gt;",VLOOKUP(B37,$AS$6:$AT$21,2,0))))</f>
        <v/>
      </c>
      <c r="D37" s="235" t="s">
        <v>93</v>
      </c>
    </row>
    <row r="38" spans="2:4">
      <c r="B38" s="311" t="s">
        <v>93</v>
      </c>
      <c r="C38" s="312" t="str">
        <f t="shared" si="4"/>
        <v/>
      </c>
      <c r="D38" s="235" t="s">
        <v>93</v>
      </c>
    </row>
    <row r="39" spans="2:4">
      <c r="B39" s="311" t="s">
        <v>93</v>
      </c>
      <c r="C39" s="312" t="str">
        <f t="shared" si="4"/>
        <v/>
      </c>
      <c r="D39" s="235" t="s">
        <v>93</v>
      </c>
    </row>
    <row r="40" spans="2:4">
      <c r="B40" s="311" t="s">
        <v>93</v>
      </c>
      <c r="C40" s="312" t="str">
        <f t="shared" si="4"/>
        <v/>
      </c>
      <c r="D40" s="235" t="s">
        <v>93</v>
      </c>
    </row>
    <row r="41" spans="2:4">
      <c r="B41" s="311" t="s">
        <v>93</v>
      </c>
      <c r="C41" s="312" t="str">
        <f t="shared" si="4"/>
        <v/>
      </c>
      <c r="D41" s="235" t="s">
        <v>93</v>
      </c>
    </row>
    <row r="42" spans="2:4">
      <c r="B42" s="311" t="s">
        <v>93</v>
      </c>
      <c r="C42" s="312" t="str">
        <f t="shared" si="4"/>
        <v/>
      </c>
      <c r="D42" s="235" t="s">
        <v>93</v>
      </c>
    </row>
    <row r="43" spans="2:4">
      <c r="B43" s="311" t="s">
        <v>93</v>
      </c>
      <c r="C43" s="312" t="str">
        <f t="shared" si="4"/>
        <v/>
      </c>
      <c r="D43" s="235" t="s">
        <v>93</v>
      </c>
    </row>
    <row r="44" spans="2:4">
      <c r="B44" s="311" t="s">
        <v>93</v>
      </c>
      <c r="C44" s="312" t="str">
        <f t="shared" si="4"/>
        <v/>
      </c>
      <c r="D44" s="235" t="s">
        <v>93</v>
      </c>
    </row>
    <row r="45" spans="2:4">
      <c r="B45" s="311" t="s">
        <v>93</v>
      </c>
      <c r="C45" s="312" t="str">
        <f t="shared" si="4"/>
        <v/>
      </c>
      <c r="D45" s="235" t="s">
        <v>93</v>
      </c>
    </row>
    <row r="46" spans="2:4">
      <c r="B46" s="311" t="s">
        <v>93</v>
      </c>
      <c r="C46" s="312" t="str">
        <f t="shared" si="4"/>
        <v/>
      </c>
      <c r="D46" s="235" t="s">
        <v>93</v>
      </c>
    </row>
    <row r="47" spans="2:4">
      <c r="B47" s="311" t="s">
        <v>93</v>
      </c>
      <c r="C47" s="312" t="str">
        <f t="shared" si="4"/>
        <v/>
      </c>
      <c r="D47" s="235" t="s">
        <v>93</v>
      </c>
    </row>
    <row r="48" spans="2:4">
      <c r="B48" s="311" t="s">
        <v>93</v>
      </c>
      <c r="C48" s="312" t="str">
        <f t="shared" si="4"/>
        <v/>
      </c>
      <c r="D48" s="235" t="s">
        <v>93</v>
      </c>
    </row>
    <row r="49" spans="2:4">
      <c r="B49" s="311" t="s">
        <v>93</v>
      </c>
      <c r="C49" s="312" t="str">
        <f t="shared" si="4"/>
        <v/>
      </c>
      <c r="D49" s="235" t="s">
        <v>93</v>
      </c>
    </row>
    <row r="50" spans="2:4">
      <c r="B50" s="311" t="s">
        <v>93</v>
      </c>
      <c r="C50" s="312" t="str">
        <f t="shared" si="4"/>
        <v/>
      </c>
      <c r="D50" s="235" t="s">
        <v>93</v>
      </c>
    </row>
    <row r="51" spans="2:4">
      <c r="B51" s="311" t="s">
        <v>93</v>
      </c>
      <c r="C51" s="312" t="str">
        <f t="shared" si="4"/>
        <v/>
      </c>
      <c r="D51" s="235" t="s">
        <v>93</v>
      </c>
    </row>
    <row r="52" spans="2:4">
      <c r="B52" s="311" t="s">
        <v>93</v>
      </c>
      <c r="C52" s="312" t="str">
        <f t="shared" si="4"/>
        <v/>
      </c>
      <c r="D52" s="235" t="s">
        <v>93</v>
      </c>
    </row>
    <row r="53" spans="2:4">
      <c r="B53" s="311" t="s">
        <v>93</v>
      </c>
      <c r="C53" s="312" t="str">
        <f t="shared" si="4"/>
        <v/>
      </c>
      <c r="D53" s="235" t="s">
        <v>93</v>
      </c>
    </row>
    <row r="54" spans="2:4">
      <c r="B54" s="311" t="s">
        <v>93</v>
      </c>
      <c r="C54" s="312" t="str">
        <f t="shared" si="4"/>
        <v/>
      </c>
      <c r="D54" s="235" t="s">
        <v>93</v>
      </c>
    </row>
    <row r="55" spans="2:4">
      <c r="B55" s="311" t="s">
        <v>93</v>
      </c>
      <c r="C55" s="312" t="str">
        <f t="shared" si="4"/>
        <v/>
      </c>
      <c r="D55" s="235" t="s">
        <v>93</v>
      </c>
    </row>
    <row r="56" spans="2:4">
      <c r="B56" s="311" t="s">
        <v>93</v>
      </c>
      <c r="C56" s="312" t="str">
        <f t="shared" si="4"/>
        <v/>
      </c>
      <c r="D56" s="235" t="s">
        <v>93</v>
      </c>
    </row>
    <row r="57" spans="2:4">
      <c r="B57" s="311" t="s">
        <v>93</v>
      </c>
      <c r="C57" s="312" t="str">
        <f t="shared" si="4"/>
        <v/>
      </c>
      <c r="D57" s="235" t="s">
        <v>93</v>
      </c>
    </row>
    <row r="58" spans="2:4">
      <c r="B58" s="311" t="s">
        <v>93</v>
      </c>
      <c r="C58" s="312" t="str">
        <f t="shared" si="4"/>
        <v/>
      </c>
      <c r="D58" s="235" t="s">
        <v>93</v>
      </c>
    </row>
    <row r="59" spans="2:4">
      <c r="B59" s="311" t="s">
        <v>93</v>
      </c>
      <c r="C59" s="312" t="str">
        <f t="shared" si="4"/>
        <v/>
      </c>
      <c r="D59" s="235" t="s">
        <v>93</v>
      </c>
    </row>
    <row r="60" spans="2:4">
      <c r="B60" s="311" t="s">
        <v>93</v>
      </c>
      <c r="C60" s="312" t="str">
        <f t="shared" si="4"/>
        <v/>
      </c>
      <c r="D60" s="235" t="s">
        <v>93</v>
      </c>
    </row>
    <row r="61" spans="2:4">
      <c r="B61" s="311" t="s">
        <v>93</v>
      </c>
      <c r="C61" s="312" t="str">
        <f t="shared" si="4"/>
        <v/>
      </c>
      <c r="D61" s="235" t="s">
        <v>93</v>
      </c>
    </row>
    <row r="62" spans="2:4">
      <c r="B62" s="311" t="s">
        <v>93</v>
      </c>
      <c r="C62" s="312" t="str">
        <f t="shared" si="4"/>
        <v/>
      </c>
      <c r="D62" s="235" t="s">
        <v>93</v>
      </c>
    </row>
    <row r="63" spans="2:4">
      <c r="B63" s="311" t="s">
        <v>93</v>
      </c>
      <c r="C63" s="312" t="str">
        <f t="shared" si="4"/>
        <v/>
      </c>
      <c r="D63" s="235" t="s">
        <v>93</v>
      </c>
    </row>
    <row r="64" spans="2:4">
      <c r="B64" s="311" t="s">
        <v>93</v>
      </c>
      <c r="C64" s="312" t="str">
        <f t="shared" si="4"/>
        <v/>
      </c>
      <c r="D64" s="235" t="s">
        <v>93</v>
      </c>
    </row>
    <row r="65" spans="2:4">
      <c r="B65" s="311" t="s">
        <v>93</v>
      </c>
      <c r="C65" s="312" t="str">
        <f t="shared" si="4"/>
        <v/>
      </c>
      <c r="D65" s="235" t="s">
        <v>93</v>
      </c>
    </row>
    <row r="66" spans="2:4">
      <c r="B66" s="311" t="s">
        <v>93</v>
      </c>
      <c r="C66" s="312" t="str">
        <f t="shared" si="4"/>
        <v/>
      </c>
      <c r="D66" s="235" t="s">
        <v>93</v>
      </c>
    </row>
    <row r="67" spans="2:4">
      <c r="B67" s="311" t="s">
        <v>93</v>
      </c>
      <c r="C67" s="312" t="str">
        <f t="shared" si="4"/>
        <v/>
      </c>
      <c r="D67" s="235" t="s">
        <v>93</v>
      </c>
    </row>
    <row r="68" spans="2:4">
      <c r="B68" s="311" t="s">
        <v>93</v>
      </c>
      <c r="C68" s="312" t="str">
        <f t="shared" si="4"/>
        <v/>
      </c>
      <c r="D68" s="235" t="s">
        <v>93</v>
      </c>
    </row>
    <row r="69" spans="2:4">
      <c r="B69" s="311" t="s">
        <v>93</v>
      </c>
      <c r="C69" s="312" t="str">
        <f t="shared" ref="C69:C100" si="5">IF(A69="","",IF(VLOOKUP(B69,$AS$6:$AT$21,2,0)=" ",IF(D69=" ","Select  --&gt;",""),IF(NOT(D69=" "),"Deselect ! --&gt;",VLOOKUP(B69,$AS$6:$AT$21,2,0))))</f>
        <v/>
      </c>
      <c r="D69" s="235" t="s">
        <v>93</v>
      </c>
    </row>
    <row r="70" spans="2:4">
      <c r="B70" s="311" t="s">
        <v>93</v>
      </c>
      <c r="C70" s="312" t="str">
        <f t="shared" si="5"/>
        <v/>
      </c>
      <c r="D70" s="235" t="s">
        <v>93</v>
      </c>
    </row>
    <row r="71" spans="2:4">
      <c r="B71" s="311" t="s">
        <v>93</v>
      </c>
      <c r="C71" s="312" t="str">
        <f t="shared" si="5"/>
        <v/>
      </c>
      <c r="D71" s="235" t="s">
        <v>93</v>
      </c>
    </row>
    <row r="72" spans="2:4">
      <c r="B72" s="311" t="s">
        <v>93</v>
      </c>
      <c r="C72" s="312" t="str">
        <f t="shared" si="5"/>
        <v/>
      </c>
      <c r="D72" s="235" t="s">
        <v>93</v>
      </c>
    </row>
    <row r="73" spans="2:4">
      <c r="B73" s="311" t="s">
        <v>93</v>
      </c>
      <c r="C73" s="312" t="str">
        <f t="shared" si="5"/>
        <v/>
      </c>
      <c r="D73" s="235" t="s">
        <v>93</v>
      </c>
    </row>
    <row r="74" spans="2:4">
      <c r="B74" s="311" t="s">
        <v>93</v>
      </c>
      <c r="C74" s="312" t="str">
        <f t="shared" si="5"/>
        <v/>
      </c>
      <c r="D74" s="235" t="s">
        <v>93</v>
      </c>
    </row>
    <row r="75" spans="2:4">
      <c r="B75" s="311" t="s">
        <v>93</v>
      </c>
      <c r="C75" s="312" t="str">
        <f t="shared" si="5"/>
        <v/>
      </c>
      <c r="D75" s="235" t="s">
        <v>93</v>
      </c>
    </row>
    <row r="76" spans="2:4">
      <c r="B76" s="311" t="s">
        <v>93</v>
      </c>
      <c r="C76" s="312" t="str">
        <f t="shared" si="5"/>
        <v/>
      </c>
      <c r="D76" s="235" t="s">
        <v>93</v>
      </c>
    </row>
    <row r="77" spans="2:4">
      <c r="B77" s="311" t="s">
        <v>93</v>
      </c>
      <c r="C77" s="312" t="str">
        <f t="shared" si="5"/>
        <v/>
      </c>
      <c r="D77" s="235" t="s">
        <v>93</v>
      </c>
    </row>
    <row r="78" spans="2:4">
      <c r="B78" s="311" t="s">
        <v>93</v>
      </c>
      <c r="C78" s="312" t="str">
        <f t="shared" si="5"/>
        <v/>
      </c>
      <c r="D78" s="235" t="s">
        <v>93</v>
      </c>
    </row>
    <row r="79" spans="2:4">
      <c r="B79" s="311" t="s">
        <v>93</v>
      </c>
      <c r="C79" s="312" t="str">
        <f t="shared" si="5"/>
        <v/>
      </c>
      <c r="D79" s="235" t="s">
        <v>93</v>
      </c>
    </row>
    <row r="80" spans="2:4">
      <c r="B80" s="311" t="s">
        <v>93</v>
      </c>
      <c r="C80" s="312" t="str">
        <f t="shared" si="5"/>
        <v/>
      </c>
      <c r="D80" s="235" t="s">
        <v>93</v>
      </c>
    </row>
    <row r="81" spans="2:4">
      <c r="B81" s="311" t="s">
        <v>93</v>
      </c>
      <c r="C81" s="312" t="str">
        <f t="shared" si="5"/>
        <v/>
      </c>
      <c r="D81" s="235" t="s">
        <v>93</v>
      </c>
    </row>
    <row r="82" spans="2:4">
      <c r="B82" s="311" t="s">
        <v>93</v>
      </c>
      <c r="C82" s="312" t="str">
        <f t="shared" si="5"/>
        <v/>
      </c>
      <c r="D82" s="235" t="s">
        <v>93</v>
      </c>
    </row>
    <row r="83" spans="2:4">
      <c r="B83" s="311" t="s">
        <v>93</v>
      </c>
      <c r="C83" s="312" t="str">
        <f t="shared" si="5"/>
        <v/>
      </c>
      <c r="D83" s="235" t="s">
        <v>93</v>
      </c>
    </row>
    <row r="84" spans="2:4">
      <c r="B84" s="311" t="s">
        <v>93</v>
      </c>
      <c r="C84" s="312" t="str">
        <f t="shared" si="5"/>
        <v/>
      </c>
      <c r="D84" s="235" t="s">
        <v>93</v>
      </c>
    </row>
    <row r="85" spans="2:4">
      <c r="B85" s="311" t="s">
        <v>93</v>
      </c>
      <c r="C85" s="312" t="str">
        <f t="shared" si="5"/>
        <v/>
      </c>
      <c r="D85" s="235" t="s">
        <v>93</v>
      </c>
    </row>
    <row r="86" spans="2:4">
      <c r="B86" s="311" t="s">
        <v>93</v>
      </c>
      <c r="C86" s="312" t="str">
        <f t="shared" si="5"/>
        <v/>
      </c>
      <c r="D86" s="235" t="s">
        <v>93</v>
      </c>
    </row>
    <row r="87" spans="2:4">
      <c r="B87" s="311" t="s">
        <v>93</v>
      </c>
      <c r="C87" s="312" t="str">
        <f t="shared" si="5"/>
        <v/>
      </c>
      <c r="D87" s="235" t="s">
        <v>93</v>
      </c>
    </row>
    <row r="88" spans="2:4">
      <c r="B88" s="311" t="s">
        <v>93</v>
      </c>
      <c r="C88" s="312" t="str">
        <f t="shared" si="5"/>
        <v/>
      </c>
      <c r="D88" s="235" t="s">
        <v>93</v>
      </c>
    </row>
    <row r="89" spans="2:4">
      <c r="B89" s="311" t="s">
        <v>93</v>
      </c>
      <c r="C89" s="312" t="str">
        <f t="shared" si="5"/>
        <v/>
      </c>
      <c r="D89" s="235" t="s">
        <v>93</v>
      </c>
    </row>
    <row r="90" spans="2:4">
      <c r="B90" s="311" t="s">
        <v>93</v>
      </c>
      <c r="C90" s="312" t="str">
        <f t="shared" si="5"/>
        <v/>
      </c>
      <c r="D90" s="235" t="s">
        <v>93</v>
      </c>
    </row>
    <row r="91" spans="2:4">
      <c r="B91" s="311" t="s">
        <v>93</v>
      </c>
      <c r="C91" s="312" t="str">
        <f t="shared" si="5"/>
        <v/>
      </c>
      <c r="D91" s="235" t="s">
        <v>93</v>
      </c>
    </row>
    <row r="92" spans="2:4">
      <c r="B92" s="311" t="s">
        <v>93</v>
      </c>
      <c r="C92" s="312" t="str">
        <f t="shared" si="5"/>
        <v/>
      </c>
      <c r="D92" s="235" t="s">
        <v>93</v>
      </c>
    </row>
    <row r="93" spans="2:4">
      <c r="B93" s="311" t="s">
        <v>93</v>
      </c>
      <c r="C93" s="312" t="str">
        <f t="shared" si="5"/>
        <v/>
      </c>
      <c r="D93" s="235" t="s">
        <v>93</v>
      </c>
    </row>
    <row r="94" spans="2:4">
      <c r="B94" s="311" t="s">
        <v>93</v>
      </c>
      <c r="C94" s="312" t="str">
        <f t="shared" si="5"/>
        <v/>
      </c>
      <c r="D94" s="235" t="s">
        <v>93</v>
      </c>
    </row>
    <row r="95" spans="2:4">
      <c r="B95" s="311" t="s">
        <v>93</v>
      </c>
      <c r="C95" s="312" t="str">
        <f t="shared" si="5"/>
        <v/>
      </c>
      <c r="D95" s="235" t="s">
        <v>93</v>
      </c>
    </row>
    <row r="96" spans="2:4">
      <c r="B96" s="311" t="s">
        <v>93</v>
      </c>
      <c r="C96" s="312" t="str">
        <f t="shared" si="5"/>
        <v/>
      </c>
      <c r="D96" s="235" t="s">
        <v>93</v>
      </c>
    </row>
    <row r="97" spans="2:4">
      <c r="B97" s="311" t="s">
        <v>93</v>
      </c>
      <c r="C97" s="312" t="str">
        <f t="shared" si="5"/>
        <v/>
      </c>
      <c r="D97" s="235" t="s">
        <v>93</v>
      </c>
    </row>
    <row r="98" spans="2:4">
      <c r="B98" s="311" t="s">
        <v>93</v>
      </c>
      <c r="C98" s="312" t="str">
        <f t="shared" si="5"/>
        <v/>
      </c>
      <c r="D98" s="235" t="s">
        <v>93</v>
      </c>
    </row>
    <row r="99" spans="2:4">
      <c r="B99" s="311" t="s">
        <v>93</v>
      </c>
      <c r="C99" s="312" t="str">
        <f t="shared" si="5"/>
        <v/>
      </c>
      <c r="D99" s="235" t="s">
        <v>93</v>
      </c>
    </row>
    <row r="100" spans="2:4">
      <c r="B100" s="311" t="s">
        <v>93</v>
      </c>
      <c r="C100" s="312" t="str">
        <f t="shared" si="5"/>
        <v/>
      </c>
      <c r="D100" s="235" t="s">
        <v>93</v>
      </c>
    </row>
    <row r="101" spans="2:4">
      <c r="B101" s="311" t="s">
        <v>93</v>
      </c>
      <c r="C101" s="312" t="str">
        <f t="shared" ref="C101:C132" si="6">IF(A101="","",IF(VLOOKUP(B101,$AS$6:$AT$21,2,0)=" ",IF(D101=" ","Select  --&gt;",""),IF(NOT(D101=" "),"Deselect ! --&gt;",VLOOKUP(B101,$AS$6:$AT$21,2,0))))</f>
        <v/>
      </c>
      <c r="D101" s="235" t="s">
        <v>93</v>
      </c>
    </row>
    <row r="102" spans="2:4">
      <c r="B102" s="311" t="s">
        <v>93</v>
      </c>
      <c r="C102" s="312" t="str">
        <f t="shared" si="6"/>
        <v/>
      </c>
      <c r="D102" s="235" t="s">
        <v>93</v>
      </c>
    </row>
    <row r="103" spans="2:4">
      <c r="B103" s="311" t="s">
        <v>93</v>
      </c>
      <c r="C103" s="312" t="str">
        <f t="shared" si="6"/>
        <v/>
      </c>
      <c r="D103" s="235" t="s">
        <v>93</v>
      </c>
    </row>
    <row r="104" spans="2:4">
      <c r="B104" s="311" t="s">
        <v>93</v>
      </c>
      <c r="C104" s="312" t="str">
        <f t="shared" si="6"/>
        <v/>
      </c>
      <c r="D104" s="235" t="s">
        <v>93</v>
      </c>
    </row>
    <row r="105" spans="2:4">
      <c r="B105" s="311" t="s">
        <v>93</v>
      </c>
      <c r="C105" s="312" t="str">
        <f t="shared" si="6"/>
        <v/>
      </c>
      <c r="D105" s="235" t="s">
        <v>93</v>
      </c>
    </row>
    <row r="106" spans="2:4">
      <c r="B106" s="311" t="s">
        <v>93</v>
      </c>
      <c r="C106" s="312" t="str">
        <f t="shared" si="6"/>
        <v/>
      </c>
      <c r="D106" s="235" t="s">
        <v>93</v>
      </c>
    </row>
    <row r="107" spans="2:4">
      <c r="B107" s="311" t="s">
        <v>93</v>
      </c>
      <c r="C107" s="312" t="str">
        <f t="shared" si="6"/>
        <v/>
      </c>
      <c r="D107" s="235" t="s">
        <v>93</v>
      </c>
    </row>
    <row r="108" spans="2:4">
      <c r="B108" s="311" t="s">
        <v>93</v>
      </c>
      <c r="C108" s="312" t="str">
        <f t="shared" si="6"/>
        <v/>
      </c>
      <c r="D108" s="235" t="s">
        <v>93</v>
      </c>
    </row>
    <row r="109" spans="2:4">
      <c r="B109" s="311" t="s">
        <v>93</v>
      </c>
      <c r="C109" s="312" t="str">
        <f t="shared" si="6"/>
        <v/>
      </c>
      <c r="D109" s="235" t="s">
        <v>93</v>
      </c>
    </row>
    <row r="110" spans="2:4">
      <c r="B110" s="311" t="s">
        <v>93</v>
      </c>
      <c r="C110" s="312" t="str">
        <f t="shared" si="6"/>
        <v/>
      </c>
      <c r="D110" s="235" t="s">
        <v>93</v>
      </c>
    </row>
    <row r="111" spans="2:4">
      <c r="B111" s="311" t="s">
        <v>93</v>
      </c>
      <c r="C111" s="312" t="str">
        <f t="shared" si="6"/>
        <v/>
      </c>
      <c r="D111" s="235" t="s">
        <v>93</v>
      </c>
    </row>
    <row r="112" spans="2:4">
      <c r="B112" s="311" t="s">
        <v>93</v>
      </c>
      <c r="C112" s="312" t="str">
        <f t="shared" si="6"/>
        <v/>
      </c>
      <c r="D112" s="235" t="s">
        <v>93</v>
      </c>
    </row>
    <row r="113" spans="2:4">
      <c r="B113" s="311" t="s">
        <v>93</v>
      </c>
      <c r="C113" s="312" t="str">
        <f t="shared" si="6"/>
        <v/>
      </c>
      <c r="D113" s="235" t="s">
        <v>93</v>
      </c>
    </row>
    <row r="114" spans="2:4">
      <c r="B114" s="311" t="s">
        <v>93</v>
      </c>
      <c r="C114" s="312" t="str">
        <f t="shared" si="6"/>
        <v/>
      </c>
      <c r="D114" s="235" t="s">
        <v>93</v>
      </c>
    </row>
    <row r="115" spans="2:4">
      <c r="B115" s="311" t="s">
        <v>93</v>
      </c>
      <c r="C115" s="312" t="str">
        <f t="shared" si="6"/>
        <v/>
      </c>
      <c r="D115" s="235" t="s">
        <v>93</v>
      </c>
    </row>
    <row r="116" spans="2:4">
      <c r="B116" s="311" t="s">
        <v>93</v>
      </c>
      <c r="C116" s="312" t="str">
        <f t="shared" si="6"/>
        <v/>
      </c>
      <c r="D116" s="235" t="s">
        <v>93</v>
      </c>
    </row>
    <row r="117" spans="2:4">
      <c r="B117" s="311" t="s">
        <v>93</v>
      </c>
      <c r="C117" s="312" t="str">
        <f t="shared" si="6"/>
        <v/>
      </c>
      <c r="D117" s="235" t="s">
        <v>93</v>
      </c>
    </row>
    <row r="118" spans="2:4">
      <c r="B118" s="311" t="s">
        <v>93</v>
      </c>
      <c r="C118" s="312" t="str">
        <f t="shared" si="6"/>
        <v/>
      </c>
      <c r="D118" s="235" t="s">
        <v>93</v>
      </c>
    </row>
    <row r="119" spans="2:4">
      <c r="B119" s="311" t="s">
        <v>93</v>
      </c>
      <c r="C119" s="312" t="str">
        <f t="shared" si="6"/>
        <v/>
      </c>
      <c r="D119" s="235" t="s">
        <v>93</v>
      </c>
    </row>
    <row r="120" spans="2:4">
      <c r="B120" s="311" t="s">
        <v>93</v>
      </c>
      <c r="C120" s="312" t="str">
        <f t="shared" si="6"/>
        <v/>
      </c>
      <c r="D120" s="235" t="s">
        <v>93</v>
      </c>
    </row>
    <row r="121" spans="2:4">
      <c r="B121" s="311" t="s">
        <v>93</v>
      </c>
      <c r="C121" s="312" t="str">
        <f t="shared" si="6"/>
        <v/>
      </c>
      <c r="D121" s="235" t="s">
        <v>93</v>
      </c>
    </row>
    <row r="122" spans="2:4">
      <c r="B122" s="311" t="s">
        <v>93</v>
      </c>
      <c r="C122" s="312" t="str">
        <f t="shared" si="6"/>
        <v/>
      </c>
      <c r="D122" s="235" t="s">
        <v>93</v>
      </c>
    </row>
    <row r="123" spans="2:4">
      <c r="B123" s="311" t="s">
        <v>93</v>
      </c>
      <c r="C123" s="312" t="str">
        <f t="shared" si="6"/>
        <v/>
      </c>
      <c r="D123" s="235" t="s">
        <v>93</v>
      </c>
    </row>
    <row r="124" spans="2:4">
      <c r="B124" s="311" t="s">
        <v>93</v>
      </c>
      <c r="C124" s="312" t="str">
        <f t="shared" si="6"/>
        <v/>
      </c>
      <c r="D124" s="235" t="s">
        <v>93</v>
      </c>
    </row>
    <row r="125" spans="2:4">
      <c r="B125" s="311" t="s">
        <v>93</v>
      </c>
      <c r="C125" s="312" t="str">
        <f t="shared" si="6"/>
        <v/>
      </c>
      <c r="D125" s="235" t="s">
        <v>93</v>
      </c>
    </row>
    <row r="126" spans="2:4">
      <c r="B126" s="311" t="s">
        <v>93</v>
      </c>
      <c r="C126" s="312" t="str">
        <f t="shared" si="6"/>
        <v/>
      </c>
      <c r="D126" s="235" t="s">
        <v>93</v>
      </c>
    </row>
    <row r="127" spans="2:4">
      <c r="B127" s="311" t="s">
        <v>93</v>
      </c>
      <c r="C127" s="312" t="str">
        <f t="shared" si="6"/>
        <v/>
      </c>
      <c r="D127" s="235" t="s">
        <v>93</v>
      </c>
    </row>
    <row r="128" spans="2:4">
      <c r="B128" s="311" t="s">
        <v>93</v>
      </c>
      <c r="C128" s="312" t="str">
        <f t="shared" si="6"/>
        <v/>
      </c>
      <c r="D128" s="235" t="s">
        <v>93</v>
      </c>
    </row>
    <row r="129" spans="2:16">
      <c r="B129" s="311" t="s">
        <v>93</v>
      </c>
      <c r="C129" s="312" t="str">
        <f t="shared" si="6"/>
        <v/>
      </c>
      <c r="D129" s="235" t="s">
        <v>93</v>
      </c>
    </row>
    <row r="130" spans="2:16">
      <c r="B130" s="311" t="s">
        <v>93</v>
      </c>
      <c r="C130" s="312" t="str">
        <f t="shared" si="6"/>
        <v/>
      </c>
      <c r="D130" s="235" t="s">
        <v>93</v>
      </c>
    </row>
    <row r="131" spans="2:16">
      <c r="B131" s="311" t="s">
        <v>93</v>
      </c>
      <c r="C131" s="312" t="str">
        <f t="shared" si="6"/>
        <v/>
      </c>
      <c r="D131" s="235" t="s">
        <v>93</v>
      </c>
    </row>
    <row r="132" spans="2:16">
      <c r="B132" s="311" t="s">
        <v>93</v>
      </c>
      <c r="C132" s="312" t="str">
        <f t="shared" si="6"/>
        <v/>
      </c>
      <c r="D132" s="235" t="s">
        <v>93</v>
      </c>
    </row>
    <row r="133" spans="2:16">
      <c r="B133" s="311" t="s">
        <v>93</v>
      </c>
      <c r="C133" s="312" t="str">
        <f t="shared" ref="C133:C164" si="7">IF(A133="","",IF(VLOOKUP(B133,$AS$6:$AT$21,2,0)=" ",IF(D133=" ","Select  --&gt;",""),IF(NOT(D133=" "),"Deselect ! --&gt;",VLOOKUP(B133,$AS$6:$AT$21,2,0))))</f>
        <v/>
      </c>
      <c r="D133" s="235" t="s">
        <v>93</v>
      </c>
    </row>
    <row r="134" spans="2:16">
      <c r="B134" s="311" t="s">
        <v>93</v>
      </c>
      <c r="C134" s="312" t="str">
        <f t="shared" si="7"/>
        <v/>
      </c>
      <c r="D134" s="235" t="s">
        <v>93</v>
      </c>
    </row>
    <row r="135" spans="2:16">
      <c r="B135" s="311" t="s">
        <v>93</v>
      </c>
      <c r="C135" s="312" t="str">
        <f t="shared" si="7"/>
        <v/>
      </c>
      <c r="D135" s="235" t="s">
        <v>93</v>
      </c>
    </row>
    <row r="136" spans="2:16">
      <c r="B136" s="311" t="s">
        <v>93</v>
      </c>
      <c r="C136" s="312" t="str">
        <f t="shared" si="7"/>
        <v/>
      </c>
      <c r="D136" s="235" t="s">
        <v>93</v>
      </c>
    </row>
    <row r="137" spans="2:16">
      <c r="B137" s="311" t="s">
        <v>93</v>
      </c>
      <c r="C137" s="312" t="str">
        <f t="shared" si="7"/>
        <v/>
      </c>
      <c r="D137" s="235" t="s">
        <v>93</v>
      </c>
      <c r="P137" s="1">
        <v>5.25</v>
      </c>
    </row>
    <row r="138" spans="2:16">
      <c r="B138" s="311" t="s">
        <v>93</v>
      </c>
      <c r="C138" s="312" t="str">
        <f t="shared" si="7"/>
        <v/>
      </c>
      <c r="D138" s="235" t="s">
        <v>93</v>
      </c>
    </row>
    <row r="139" spans="2:16">
      <c r="B139" s="311" t="s">
        <v>93</v>
      </c>
      <c r="C139" s="312" t="str">
        <f t="shared" si="7"/>
        <v/>
      </c>
      <c r="D139" s="235" t="s">
        <v>93</v>
      </c>
    </row>
    <row r="140" spans="2:16">
      <c r="B140" s="311" t="s">
        <v>93</v>
      </c>
      <c r="C140" s="312" t="str">
        <f t="shared" si="7"/>
        <v/>
      </c>
      <c r="D140" s="235" t="s">
        <v>93</v>
      </c>
    </row>
    <row r="141" spans="2:16">
      <c r="B141" s="311" t="s">
        <v>93</v>
      </c>
      <c r="C141" s="312" t="str">
        <f t="shared" si="7"/>
        <v/>
      </c>
      <c r="D141" s="235" t="s">
        <v>93</v>
      </c>
    </row>
    <row r="142" spans="2:16">
      <c r="B142" s="311" t="s">
        <v>93</v>
      </c>
      <c r="C142" s="312" t="str">
        <f t="shared" si="7"/>
        <v/>
      </c>
      <c r="D142" s="235" t="s">
        <v>93</v>
      </c>
    </row>
    <row r="143" spans="2:16">
      <c r="B143" s="311" t="s">
        <v>93</v>
      </c>
      <c r="C143" s="312" t="str">
        <f t="shared" si="7"/>
        <v/>
      </c>
      <c r="D143" s="235" t="s">
        <v>93</v>
      </c>
    </row>
    <row r="144" spans="2:16">
      <c r="B144" s="311" t="s">
        <v>93</v>
      </c>
      <c r="C144" s="312" t="str">
        <f t="shared" si="7"/>
        <v/>
      </c>
      <c r="D144" s="235" t="s">
        <v>93</v>
      </c>
    </row>
    <row r="145" spans="2:4">
      <c r="B145" s="311" t="s">
        <v>93</v>
      </c>
      <c r="C145" s="312" t="str">
        <f t="shared" si="7"/>
        <v/>
      </c>
      <c r="D145" s="235" t="s">
        <v>93</v>
      </c>
    </row>
    <row r="146" spans="2:4">
      <c r="B146" s="311" t="s">
        <v>93</v>
      </c>
      <c r="C146" s="312" t="str">
        <f t="shared" si="7"/>
        <v/>
      </c>
      <c r="D146" s="235" t="s">
        <v>93</v>
      </c>
    </row>
    <row r="147" spans="2:4">
      <c r="B147" s="311" t="s">
        <v>93</v>
      </c>
      <c r="C147" s="312" t="str">
        <f t="shared" si="7"/>
        <v/>
      </c>
      <c r="D147" s="235" t="s">
        <v>93</v>
      </c>
    </row>
    <row r="148" spans="2:4">
      <c r="B148" s="311" t="s">
        <v>93</v>
      </c>
      <c r="C148" s="312" t="str">
        <f t="shared" si="7"/>
        <v/>
      </c>
      <c r="D148" s="235" t="s">
        <v>93</v>
      </c>
    </row>
    <row r="149" spans="2:4">
      <c r="B149" s="311" t="s">
        <v>93</v>
      </c>
      <c r="C149" s="312" t="str">
        <f t="shared" si="7"/>
        <v/>
      </c>
      <c r="D149" s="235" t="s">
        <v>93</v>
      </c>
    </row>
    <row r="150" spans="2:4">
      <c r="B150" s="311" t="s">
        <v>93</v>
      </c>
      <c r="C150" s="312" t="str">
        <f t="shared" si="7"/>
        <v/>
      </c>
      <c r="D150" s="235" t="s">
        <v>93</v>
      </c>
    </row>
    <row r="151" spans="2:4">
      <c r="B151" s="311" t="s">
        <v>93</v>
      </c>
      <c r="C151" s="312" t="str">
        <f t="shared" si="7"/>
        <v/>
      </c>
      <c r="D151" s="235" t="s">
        <v>93</v>
      </c>
    </row>
    <row r="152" spans="2:4">
      <c r="B152" s="311" t="s">
        <v>93</v>
      </c>
      <c r="C152" s="312" t="str">
        <f t="shared" si="7"/>
        <v/>
      </c>
      <c r="D152" s="235" t="s">
        <v>93</v>
      </c>
    </row>
    <row r="153" spans="2:4">
      <c r="B153" s="311" t="s">
        <v>93</v>
      </c>
      <c r="C153" s="312" t="str">
        <f t="shared" si="7"/>
        <v/>
      </c>
      <c r="D153" s="235" t="s">
        <v>93</v>
      </c>
    </row>
    <row r="154" spans="2:4">
      <c r="B154" s="311" t="s">
        <v>93</v>
      </c>
      <c r="C154" s="312" t="str">
        <f t="shared" si="7"/>
        <v/>
      </c>
      <c r="D154" s="235" t="s">
        <v>93</v>
      </c>
    </row>
    <row r="155" spans="2:4">
      <c r="B155" s="311" t="s">
        <v>93</v>
      </c>
      <c r="C155" s="312" t="str">
        <f t="shared" si="7"/>
        <v/>
      </c>
      <c r="D155" s="235" t="s">
        <v>93</v>
      </c>
    </row>
    <row r="156" spans="2:4">
      <c r="B156" s="311" t="s">
        <v>93</v>
      </c>
      <c r="C156" s="312" t="str">
        <f t="shared" si="7"/>
        <v/>
      </c>
      <c r="D156" s="235" t="s">
        <v>93</v>
      </c>
    </row>
    <row r="157" spans="2:4">
      <c r="B157" s="311" t="s">
        <v>93</v>
      </c>
      <c r="C157" s="312" t="str">
        <f t="shared" si="7"/>
        <v/>
      </c>
      <c r="D157" s="235" t="s">
        <v>93</v>
      </c>
    </row>
    <row r="158" spans="2:4">
      <c r="B158" s="311" t="s">
        <v>93</v>
      </c>
      <c r="C158" s="312" t="str">
        <f t="shared" si="7"/>
        <v/>
      </c>
      <c r="D158" s="235" t="s">
        <v>93</v>
      </c>
    </row>
    <row r="159" spans="2:4">
      <c r="B159" s="311" t="s">
        <v>93</v>
      </c>
      <c r="C159" s="312" t="str">
        <f t="shared" si="7"/>
        <v/>
      </c>
      <c r="D159" s="235" t="s">
        <v>93</v>
      </c>
    </row>
    <row r="160" spans="2:4">
      <c r="B160" s="311" t="s">
        <v>93</v>
      </c>
      <c r="C160" s="312" t="str">
        <f t="shared" si="7"/>
        <v/>
      </c>
      <c r="D160" s="235" t="s">
        <v>93</v>
      </c>
    </row>
    <row r="161" spans="2:4">
      <c r="B161" s="311" t="s">
        <v>93</v>
      </c>
      <c r="C161" s="312" t="str">
        <f t="shared" si="7"/>
        <v/>
      </c>
      <c r="D161" s="235" t="s">
        <v>93</v>
      </c>
    </row>
    <row r="162" spans="2:4">
      <c r="B162" s="311" t="s">
        <v>93</v>
      </c>
      <c r="C162" s="312" t="str">
        <f t="shared" si="7"/>
        <v/>
      </c>
      <c r="D162" s="235" t="s">
        <v>93</v>
      </c>
    </row>
    <row r="163" spans="2:4">
      <c r="B163" s="311" t="s">
        <v>93</v>
      </c>
      <c r="C163" s="312" t="str">
        <f t="shared" si="7"/>
        <v/>
      </c>
      <c r="D163" s="235" t="s">
        <v>93</v>
      </c>
    </row>
    <row r="164" spans="2:4">
      <c r="B164" s="311" t="s">
        <v>93</v>
      </c>
      <c r="C164" s="312" t="str">
        <f t="shared" si="7"/>
        <v/>
      </c>
      <c r="D164" s="235" t="s">
        <v>93</v>
      </c>
    </row>
    <row r="165" spans="2:4">
      <c r="B165" s="311" t="s">
        <v>93</v>
      </c>
      <c r="C165" s="312" t="str">
        <f t="shared" ref="C165:C196" si="8">IF(A165="","",IF(VLOOKUP(B165,$AS$6:$AT$21,2,0)=" ",IF(D165=" ","Select  --&gt;",""),IF(NOT(D165=" "),"Deselect ! --&gt;",VLOOKUP(B165,$AS$6:$AT$21,2,0))))</f>
        <v/>
      </c>
      <c r="D165" s="235" t="s">
        <v>93</v>
      </c>
    </row>
    <row r="166" spans="2:4">
      <c r="B166" s="311" t="s">
        <v>93</v>
      </c>
      <c r="C166" s="312" t="str">
        <f t="shared" si="8"/>
        <v/>
      </c>
      <c r="D166" s="235" t="s">
        <v>93</v>
      </c>
    </row>
    <row r="167" spans="2:4">
      <c r="B167" s="311" t="s">
        <v>93</v>
      </c>
      <c r="C167" s="312" t="str">
        <f t="shared" si="8"/>
        <v/>
      </c>
      <c r="D167" s="235" t="s">
        <v>93</v>
      </c>
    </row>
    <row r="168" spans="2:4">
      <c r="B168" s="311" t="s">
        <v>93</v>
      </c>
      <c r="C168" s="312" t="str">
        <f t="shared" si="8"/>
        <v/>
      </c>
      <c r="D168" s="235" t="s">
        <v>93</v>
      </c>
    </row>
    <row r="169" spans="2:4">
      <c r="B169" s="311" t="s">
        <v>93</v>
      </c>
      <c r="C169" s="312" t="str">
        <f t="shared" si="8"/>
        <v/>
      </c>
      <c r="D169" s="235" t="s">
        <v>93</v>
      </c>
    </row>
    <row r="170" spans="2:4">
      <c r="B170" s="311" t="s">
        <v>93</v>
      </c>
      <c r="C170" s="312" t="str">
        <f t="shared" si="8"/>
        <v/>
      </c>
      <c r="D170" s="235" t="s">
        <v>93</v>
      </c>
    </row>
    <row r="171" spans="2:4">
      <c r="B171" s="311" t="s">
        <v>93</v>
      </c>
      <c r="C171" s="312" t="str">
        <f t="shared" si="8"/>
        <v/>
      </c>
      <c r="D171" s="235" t="s">
        <v>93</v>
      </c>
    </row>
    <row r="172" spans="2:4">
      <c r="B172" s="311" t="s">
        <v>93</v>
      </c>
      <c r="C172" s="312" t="str">
        <f t="shared" si="8"/>
        <v/>
      </c>
      <c r="D172" s="235" t="s">
        <v>93</v>
      </c>
    </row>
    <row r="173" spans="2:4">
      <c r="B173" s="311" t="s">
        <v>93</v>
      </c>
      <c r="C173" s="312" t="str">
        <f t="shared" si="8"/>
        <v/>
      </c>
      <c r="D173" s="235" t="s">
        <v>93</v>
      </c>
    </row>
    <row r="174" spans="2:4">
      <c r="B174" s="311" t="s">
        <v>93</v>
      </c>
      <c r="C174" s="312" t="str">
        <f t="shared" si="8"/>
        <v/>
      </c>
      <c r="D174" s="235" t="s">
        <v>93</v>
      </c>
    </row>
    <row r="175" spans="2:4">
      <c r="B175" s="311" t="s">
        <v>93</v>
      </c>
      <c r="C175" s="312" t="str">
        <f t="shared" si="8"/>
        <v/>
      </c>
      <c r="D175" s="235" t="s">
        <v>93</v>
      </c>
    </row>
    <row r="176" spans="2:4">
      <c r="B176" s="311" t="s">
        <v>93</v>
      </c>
      <c r="C176" s="312" t="str">
        <f t="shared" si="8"/>
        <v/>
      </c>
      <c r="D176" s="235" t="s">
        <v>93</v>
      </c>
    </row>
    <row r="177" spans="2:4">
      <c r="B177" s="311" t="s">
        <v>93</v>
      </c>
      <c r="C177" s="312" t="str">
        <f t="shared" si="8"/>
        <v/>
      </c>
      <c r="D177" s="235" t="s">
        <v>93</v>
      </c>
    </row>
    <row r="178" spans="2:4">
      <c r="B178" s="311" t="s">
        <v>93</v>
      </c>
      <c r="C178" s="312" t="str">
        <f t="shared" si="8"/>
        <v/>
      </c>
      <c r="D178" s="235" t="s">
        <v>93</v>
      </c>
    </row>
    <row r="179" spans="2:4">
      <c r="B179" s="311" t="s">
        <v>93</v>
      </c>
      <c r="C179" s="312" t="str">
        <f t="shared" si="8"/>
        <v/>
      </c>
      <c r="D179" s="235" t="s">
        <v>93</v>
      </c>
    </row>
    <row r="180" spans="2:4">
      <c r="B180" s="311" t="s">
        <v>93</v>
      </c>
      <c r="C180" s="312" t="str">
        <f t="shared" si="8"/>
        <v/>
      </c>
      <c r="D180" s="235" t="s">
        <v>93</v>
      </c>
    </row>
    <row r="181" spans="2:4">
      <c r="B181" s="311" t="s">
        <v>93</v>
      </c>
      <c r="C181" s="312" t="str">
        <f t="shared" si="8"/>
        <v/>
      </c>
      <c r="D181" s="235" t="s">
        <v>93</v>
      </c>
    </row>
    <row r="182" spans="2:4">
      <c r="B182" s="311" t="s">
        <v>93</v>
      </c>
      <c r="C182" s="312" t="str">
        <f t="shared" si="8"/>
        <v/>
      </c>
      <c r="D182" s="235" t="s">
        <v>93</v>
      </c>
    </row>
    <row r="183" spans="2:4">
      <c r="B183" s="311" t="s">
        <v>93</v>
      </c>
      <c r="C183" s="312" t="str">
        <f t="shared" si="8"/>
        <v/>
      </c>
      <c r="D183" s="235" t="s">
        <v>93</v>
      </c>
    </row>
    <row r="184" spans="2:4">
      <c r="B184" s="311" t="s">
        <v>93</v>
      </c>
      <c r="C184" s="312" t="str">
        <f t="shared" si="8"/>
        <v/>
      </c>
      <c r="D184" s="235" t="s">
        <v>93</v>
      </c>
    </row>
    <row r="185" spans="2:4">
      <c r="B185" s="311" t="s">
        <v>93</v>
      </c>
      <c r="C185" s="312" t="str">
        <f t="shared" si="8"/>
        <v/>
      </c>
      <c r="D185" s="235" t="s">
        <v>93</v>
      </c>
    </row>
    <row r="186" spans="2:4">
      <c r="B186" s="311" t="s">
        <v>93</v>
      </c>
      <c r="C186" s="312" t="str">
        <f t="shared" si="8"/>
        <v/>
      </c>
      <c r="D186" s="235" t="s">
        <v>93</v>
      </c>
    </row>
    <row r="187" spans="2:4">
      <c r="B187" s="311" t="s">
        <v>93</v>
      </c>
      <c r="C187" s="312" t="str">
        <f t="shared" si="8"/>
        <v/>
      </c>
      <c r="D187" s="235" t="s">
        <v>93</v>
      </c>
    </row>
    <row r="188" spans="2:4">
      <c r="B188" s="311" t="s">
        <v>93</v>
      </c>
      <c r="C188" s="312" t="str">
        <f t="shared" si="8"/>
        <v/>
      </c>
      <c r="D188" s="235" t="s">
        <v>93</v>
      </c>
    </row>
    <row r="189" spans="2:4">
      <c r="B189" s="311" t="s">
        <v>93</v>
      </c>
      <c r="C189" s="312" t="str">
        <f t="shared" si="8"/>
        <v/>
      </c>
      <c r="D189" s="235" t="s">
        <v>93</v>
      </c>
    </row>
    <row r="190" spans="2:4">
      <c r="B190" s="311" t="s">
        <v>93</v>
      </c>
      <c r="C190" s="312" t="str">
        <f t="shared" si="8"/>
        <v/>
      </c>
      <c r="D190" s="235" t="s">
        <v>93</v>
      </c>
    </row>
    <row r="191" spans="2:4">
      <c r="B191" s="311" t="s">
        <v>93</v>
      </c>
      <c r="C191" s="312" t="str">
        <f t="shared" si="8"/>
        <v/>
      </c>
      <c r="D191" s="235" t="s">
        <v>93</v>
      </c>
    </row>
    <row r="192" spans="2:4">
      <c r="B192" s="311" t="s">
        <v>93</v>
      </c>
      <c r="C192" s="312" t="str">
        <f t="shared" si="8"/>
        <v/>
      </c>
      <c r="D192" s="235" t="s">
        <v>93</v>
      </c>
    </row>
    <row r="193" spans="2:4">
      <c r="B193" s="311" t="s">
        <v>93</v>
      </c>
      <c r="C193" s="312" t="str">
        <f t="shared" si="8"/>
        <v/>
      </c>
      <c r="D193" s="235" t="s">
        <v>93</v>
      </c>
    </row>
    <row r="194" spans="2:4">
      <c r="B194" s="311" t="s">
        <v>93</v>
      </c>
      <c r="C194" s="312" t="str">
        <f t="shared" si="8"/>
        <v/>
      </c>
      <c r="D194" s="235" t="s">
        <v>93</v>
      </c>
    </row>
    <row r="195" spans="2:4">
      <c r="B195" s="311" t="s">
        <v>93</v>
      </c>
      <c r="C195" s="312" t="str">
        <f t="shared" si="8"/>
        <v/>
      </c>
      <c r="D195" s="235" t="s">
        <v>93</v>
      </c>
    </row>
    <row r="196" spans="2:4">
      <c r="B196" s="311" t="s">
        <v>93</v>
      </c>
      <c r="C196" s="312" t="str">
        <f t="shared" si="8"/>
        <v/>
      </c>
      <c r="D196" s="235" t="s">
        <v>93</v>
      </c>
    </row>
    <row r="197" spans="2:4">
      <c r="B197" s="311" t="s">
        <v>93</v>
      </c>
      <c r="C197" s="312" t="str">
        <f t="shared" ref="C197:C204" si="9">IF(A197="","",IF(VLOOKUP(B197,$AS$6:$AT$21,2,0)=" ",IF(D197=" ","Select  --&gt;",""),IF(NOT(D197=" "),"Deselect ! --&gt;",VLOOKUP(B197,$AS$6:$AT$21,2,0))))</f>
        <v/>
      </c>
      <c r="D197" s="235" t="s">
        <v>93</v>
      </c>
    </row>
    <row r="198" spans="2:4">
      <c r="B198" s="311" t="s">
        <v>93</v>
      </c>
      <c r="C198" s="312" t="str">
        <f t="shared" si="9"/>
        <v/>
      </c>
      <c r="D198" s="235" t="s">
        <v>93</v>
      </c>
    </row>
    <row r="199" spans="2:4">
      <c r="B199" s="311" t="s">
        <v>93</v>
      </c>
      <c r="C199" s="312" t="str">
        <f t="shared" si="9"/>
        <v/>
      </c>
      <c r="D199" s="235" t="s">
        <v>93</v>
      </c>
    </row>
    <row r="200" spans="2:4">
      <c r="B200" s="311" t="s">
        <v>93</v>
      </c>
      <c r="C200" s="312" t="str">
        <f t="shared" si="9"/>
        <v/>
      </c>
      <c r="D200" s="235" t="s">
        <v>93</v>
      </c>
    </row>
    <row r="201" spans="2:4">
      <c r="B201" s="311" t="s">
        <v>93</v>
      </c>
      <c r="C201" s="312" t="str">
        <f t="shared" si="9"/>
        <v/>
      </c>
      <c r="D201" s="235" t="s">
        <v>93</v>
      </c>
    </row>
    <row r="202" spans="2:4">
      <c r="B202" s="311" t="s">
        <v>93</v>
      </c>
      <c r="C202" s="312" t="str">
        <f t="shared" si="9"/>
        <v/>
      </c>
      <c r="D202" s="235" t="s">
        <v>93</v>
      </c>
    </row>
    <row r="203" spans="2:4">
      <c r="B203" s="311" t="s">
        <v>93</v>
      </c>
      <c r="C203" s="312" t="str">
        <f t="shared" si="9"/>
        <v/>
      </c>
      <c r="D203" s="235" t="s">
        <v>93</v>
      </c>
    </row>
    <row r="204" spans="2:4">
      <c r="B204" s="311" t="s">
        <v>93</v>
      </c>
      <c r="C204" s="312" t="str">
        <f t="shared" si="9"/>
        <v/>
      </c>
      <c r="D204" s="235" t="s">
        <v>93</v>
      </c>
    </row>
  </sheetData>
  <mergeCells count="2">
    <mergeCell ref="C3:D3"/>
    <mergeCell ref="E3:AB3"/>
  </mergeCells>
  <dataValidations count="3">
    <dataValidation type="list" operator="equal" allowBlank="1" showDropDown="1" sqref="B5:B19">
      <formula1>$AS$6:$AS$26</formula1>
      <formula2>0</formula2>
    </dataValidation>
    <dataValidation type="list" operator="equal" allowBlank="1" showDropDown="1" sqref="D5:D204">
      <formula1>$AU$6:$AU$16</formula1>
      <formula2>0</formula2>
    </dataValidation>
    <dataValidation type="list" operator="equal" allowBlank="1" showDropDown="1" sqref="B20:B204">
      <formula1>$AS$6:$AS$16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3"/>
  <sheetViews>
    <sheetView topLeftCell="C1" zoomScaleNormal="100" zoomScalePageLayoutView="60" workbookViewId="0">
      <selection activeCell="K9" sqref="K9"/>
    </sheetView>
  </sheetViews>
  <sheetFormatPr defaultRowHeight="14.25"/>
  <cols>
    <col min="1" max="1" width="19.25" style="1"/>
    <col min="2" max="2" width="86.125" style="1"/>
    <col min="3" max="3" width="20.125" style="1"/>
    <col min="4" max="7" width="11.75" style="1"/>
    <col min="8" max="8" width="4.625" style="1"/>
    <col min="9" max="9" width="5.25" style="1"/>
    <col min="10" max="1025" width="11.75" style="1"/>
  </cols>
  <sheetData>
    <row r="1" spans="2:25"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</row>
    <row r="3" spans="2:25">
      <c r="B3" s="1" t="s">
        <v>467</v>
      </c>
      <c r="C3" s="1" t="s">
        <v>489</v>
      </c>
      <c r="D3" s="314" t="s">
        <v>490</v>
      </c>
      <c r="K3" s="421" t="s">
        <v>1189</v>
      </c>
    </row>
    <row r="4" spans="2:25">
      <c r="G4" s="1" t="str">
        <f>" "</f>
        <v xml:space="preserve"> </v>
      </c>
      <c r="K4" s="1" t="s">
        <v>1194</v>
      </c>
    </row>
    <row r="5" spans="2:25">
      <c r="D5" s="1" t="s">
        <v>397</v>
      </c>
      <c r="E5" s="1" t="s">
        <v>403</v>
      </c>
      <c r="G5" s="1" t="s">
        <v>379</v>
      </c>
      <c r="H5" s="1">
        <v>1</v>
      </c>
      <c r="I5" s="1">
        <v>31</v>
      </c>
      <c r="K5" s="65" t="s">
        <v>229</v>
      </c>
    </row>
    <row r="6" spans="2:25">
      <c r="B6" s="1" t="str">
        <f t="shared" ref="B6:B37" ca="1" si="0">IF(INDIRECT(ADDRESS((ROW(A1)-1)*14+5,3,4,1,"SCHEDULES"),1)=0," ",INDIRECT(ADDRESS((ROW(A1)-1)*14+5,3,4,1,"SCHEDULES"),1))</f>
        <v xml:space="preserve"> </v>
      </c>
      <c r="C6" s="1" t="str">
        <f>IF(NOT(DAY_SCH!A5=0),DAY_SCH!A5," ")</f>
        <v>ALWAYS 100% Day Sch</v>
      </c>
      <c r="D6" s="1" t="s">
        <v>403</v>
      </c>
      <c r="E6" s="1" t="s">
        <v>408</v>
      </c>
      <c r="G6" s="1" t="s">
        <v>381</v>
      </c>
      <c r="H6" s="1">
        <v>2</v>
      </c>
      <c r="I6" s="1">
        <v>28</v>
      </c>
      <c r="K6" s="65" t="s">
        <v>630</v>
      </c>
    </row>
    <row r="7" spans="2:25">
      <c r="B7" s="1" t="str">
        <f t="shared" ca="1" si="0"/>
        <v xml:space="preserve"> </v>
      </c>
      <c r="C7" s="1" t="str">
        <f>IF(NOT(DAY_SCH!A6=0),DAY_SCH!A6," ")</f>
        <v>ALWAYS 0% Day Sch</v>
      </c>
      <c r="D7" s="1" t="s">
        <v>408</v>
      </c>
      <c r="E7" s="1" t="s">
        <v>412</v>
      </c>
      <c r="G7" s="1" t="s">
        <v>491</v>
      </c>
      <c r="H7" s="1">
        <v>3</v>
      </c>
      <c r="I7" s="1">
        <v>31</v>
      </c>
      <c r="K7" s="65" t="s">
        <v>1191</v>
      </c>
    </row>
    <row r="8" spans="2:25">
      <c r="B8" s="1" t="str">
        <f t="shared" ca="1" si="0"/>
        <v xml:space="preserve"> </v>
      </c>
      <c r="C8" s="1" t="str">
        <f>IF(NOT(DAY_SCH!A7=0),DAY_SCH!A7," ")</f>
        <v>ALWAYS ON Day Sch</v>
      </c>
      <c r="D8" s="1" t="s">
        <v>412</v>
      </c>
      <c r="E8" s="1" t="s">
        <v>415</v>
      </c>
      <c r="G8" s="1" t="s">
        <v>382</v>
      </c>
      <c r="H8" s="1">
        <v>4</v>
      </c>
      <c r="I8" s="1">
        <v>30</v>
      </c>
      <c r="K8" s="65" t="s">
        <v>1192</v>
      </c>
    </row>
    <row r="9" spans="2:25">
      <c r="B9" s="1" t="str">
        <f t="shared" ca="1" si="0"/>
        <v xml:space="preserve"> </v>
      </c>
      <c r="C9" s="1" t="str">
        <f>IF(NOT(DAY_SCH!A8=0),DAY_SCH!A8," ")</f>
        <v>ALWAYS OFF Day Sch</v>
      </c>
      <c r="D9" s="1" t="s">
        <v>415</v>
      </c>
      <c r="E9" s="1" t="s">
        <v>419</v>
      </c>
      <c r="G9" s="1" t="s">
        <v>433</v>
      </c>
      <c r="H9" s="1">
        <v>5</v>
      </c>
      <c r="I9" s="1">
        <v>31</v>
      </c>
      <c r="K9" s="65" t="s">
        <v>1193</v>
      </c>
    </row>
    <row r="10" spans="2:25">
      <c r="B10" s="1" t="str">
        <f t="shared" ca="1" si="0"/>
        <v xml:space="preserve"> </v>
      </c>
      <c r="C10" s="1" t="str">
        <f>IF(NOT(DAY_SCH!A9=0),DAY_SCH!A9," ")</f>
        <v>TYPE A LGT All</v>
      </c>
      <c r="D10" s="1" t="s">
        <v>419</v>
      </c>
      <c r="E10" s="1" t="s">
        <v>391</v>
      </c>
      <c r="G10" s="1" t="s">
        <v>383</v>
      </c>
      <c r="H10" s="1">
        <v>6</v>
      </c>
      <c r="I10" s="1">
        <v>30</v>
      </c>
    </row>
    <row r="11" spans="2:25">
      <c r="B11" s="1" t="str">
        <f t="shared" ca="1" si="0"/>
        <v xml:space="preserve"> </v>
      </c>
      <c r="C11" s="1" t="str">
        <f>IF(NOT(DAY_SCH!A10=0),DAY_SCH!A10," ")</f>
        <v>TYPE A EQP All</v>
      </c>
      <c r="D11" s="1" t="s">
        <v>391</v>
      </c>
      <c r="E11" s="1" t="s">
        <v>426</v>
      </c>
      <c r="G11" s="1" t="s">
        <v>434</v>
      </c>
      <c r="H11" s="1">
        <v>7</v>
      </c>
      <c r="I11" s="1">
        <v>31</v>
      </c>
    </row>
    <row r="12" spans="2:25">
      <c r="B12" s="1" t="str">
        <f t="shared" ca="1" si="0"/>
        <v xml:space="preserve"> </v>
      </c>
      <c r="C12" s="1" t="str">
        <f>IF(NOT(DAY_SCH!A11=0),DAY_SCH!A11," ")</f>
        <v>TYPE A OCC All</v>
      </c>
      <c r="D12" s="1" t="s">
        <v>426</v>
      </c>
      <c r="E12" s="1" t="s">
        <v>431</v>
      </c>
      <c r="G12" s="1" t="s">
        <v>492</v>
      </c>
      <c r="H12" s="1">
        <v>8</v>
      </c>
      <c r="I12" s="1">
        <v>31</v>
      </c>
    </row>
    <row r="13" spans="2:25">
      <c r="B13" s="1" t="str">
        <f t="shared" ca="1" si="0"/>
        <v xml:space="preserve"> </v>
      </c>
      <c r="C13" s="1" t="str">
        <f>IF(NOT(DAY_SCH!A12=0),DAY_SCH!A12," ")</f>
        <v>TYPE A FANS All</v>
      </c>
      <c r="D13" s="1" t="s">
        <v>431</v>
      </c>
      <c r="E13" s="1" t="s">
        <v>493</v>
      </c>
      <c r="G13" s="1" t="s">
        <v>436</v>
      </c>
      <c r="H13" s="1">
        <v>9</v>
      </c>
      <c r="I13" s="1">
        <v>30</v>
      </c>
    </row>
    <row r="14" spans="2:25">
      <c r="B14" s="1" t="str">
        <f t="shared" ca="1" si="0"/>
        <v xml:space="preserve"> </v>
      </c>
      <c r="C14" s="1" t="str">
        <f>IF(NOT(DAY_SCH!A13=0),DAY_SCH!A13," ")</f>
        <v>TYPE A CLNG NOT AVAIL</v>
      </c>
      <c r="D14" s="1" t="s">
        <v>493</v>
      </c>
      <c r="E14" s="1" t="s">
        <v>494</v>
      </c>
      <c r="G14" s="1" t="s">
        <v>495</v>
      </c>
      <c r="H14" s="1">
        <v>10</v>
      </c>
      <c r="I14" s="1">
        <v>31</v>
      </c>
    </row>
    <row r="15" spans="2:25">
      <c r="B15" s="1" t="str">
        <f t="shared" ca="1" si="0"/>
        <v xml:space="preserve"> </v>
      </c>
      <c r="C15" s="1" t="str">
        <f>IF(NOT(DAY_SCH!A14=0),DAY_SCH!A14," ")</f>
        <v>TYPE A CLNG AVAIL</v>
      </c>
      <c r="D15" s="1" t="s">
        <v>494</v>
      </c>
      <c r="E15" s="1" t="s">
        <v>496</v>
      </c>
      <c r="G15" s="1" t="s">
        <v>497</v>
      </c>
      <c r="H15" s="1">
        <v>11</v>
      </c>
      <c r="I15" s="1">
        <v>30</v>
      </c>
    </row>
    <row r="16" spans="2:25">
      <c r="B16" s="1" t="str">
        <f t="shared" ca="1" si="0"/>
        <v xml:space="preserve"> </v>
      </c>
      <c r="C16" s="1" t="str">
        <f>IF(NOT(DAY_SCH!A15=0),DAY_SCH!A15," ")</f>
        <v>HTNG NOT AVAILABLE</v>
      </c>
      <c r="D16" s="1" t="s">
        <v>496</v>
      </c>
      <c r="E16" s="1" t="str">
        <f>" "</f>
        <v xml:space="preserve"> </v>
      </c>
      <c r="G16" s="1" t="s">
        <v>384</v>
      </c>
      <c r="H16" s="1">
        <v>12</v>
      </c>
      <c r="I16" s="1">
        <v>31</v>
      </c>
    </row>
    <row r="17" spans="2:7">
      <c r="B17" s="1" t="str">
        <f t="shared" ca="1" si="0"/>
        <v xml:space="preserve"> </v>
      </c>
      <c r="C17" s="1" t="str">
        <f>IF(NOT(DAY_SCH!A16=0),DAY_SCH!A16," ")</f>
        <v>HTNG AVAIL SHOULDER SEASON</v>
      </c>
      <c r="G17" s="1" t="str">
        <f>""</f>
        <v/>
      </c>
    </row>
    <row r="18" spans="2:7">
      <c r="B18" s="1" t="str">
        <f t="shared" ca="1" si="0"/>
        <v xml:space="preserve"> </v>
      </c>
      <c r="C18" s="1" t="str">
        <f>IF(NOT(DAY_SCH!A17=0),DAY_SCH!A17," ")</f>
        <v>HTNG AVAILABLE</v>
      </c>
    </row>
    <row r="19" spans="2:7">
      <c r="B19" s="1" t="str">
        <f t="shared" ca="1" si="0"/>
        <v xml:space="preserve"> </v>
      </c>
      <c r="C19" s="1" t="str">
        <f>IF(NOT(DAY_SCH!A18=0),DAY_SCH!A18," ")</f>
        <v>TYPE A CLNG TSTAT</v>
      </c>
    </row>
    <row r="20" spans="2:7">
      <c r="B20" s="1" t="str">
        <f t="shared" ca="1" si="0"/>
        <v xml:space="preserve"> </v>
      </c>
      <c r="C20" s="1" t="str">
        <f>IF(NOT(DAY_SCH!A19=0),DAY_SCH!A19," ")</f>
        <v>TYPE A HTNG TSTAT</v>
      </c>
    </row>
    <row r="21" spans="2:7">
      <c r="B21" s="1" t="str">
        <f t="shared" ca="1" si="0"/>
        <v xml:space="preserve"> </v>
      </c>
      <c r="C21" s="1" t="str">
        <f>IF(NOT(DAY_SCH!A20=0),DAY_SCH!A20," ")</f>
        <v xml:space="preserve"> </v>
      </c>
    </row>
    <row r="22" spans="2:7">
      <c r="B22" s="1" t="str">
        <f t="shared" ca="1" si="0"/>
        <v xml:space="preserve"> </v>
      </c>
      <c r="C22" s="1" t="str">
        <f>IF(NOT(DAY_SCH!A21=0),DAY_SCH!A21," ")</f>
        <v xml:space="preserve"> </v>
      </c>
    </row>
    <row r="23" spans="2:7">
      <c r="B23" s="1" t="str">
        <f t="shared" ca="1" si="0"/>
        <v xml:space="preserve"> </v>
      </c>
      <c r="C23" s="1" t="str">
        <f>IF(NOT(DAY_SCH!A22=0),DAY_SCH!A22," ")</f>
        <v xml:space="preserve"> </v>
      </c>
    </row>
    <row r="24" spans="2:7">
      <c r="B24" s="1" t="str">
        <f t="shared" ca="1" si="0"/>
        <v xml:space="preserve"> </v>
      </c>
      <c r="C24" s="1" t="str">
        <f>IF(NOT(DAY_SCH!A23=0),DAY_SCH!A23," ")</f>
        <v xml:space="preserve"> </v>
      </c>
    </row>
    <row r="25" spans="2:7">
      <c r="B25" s="1" t="str">
        <f t="shared" ca="1" si="0"/>
        <v xml:space="preserve"> </v>
      </c>
      <c r="C25" s="1" t="str">
        <f>IF(NOT(DAY_SCH!A24=0),DAY_SCH!A24," ")</f>
        <v xml:space="preserve"> </v>
      </c>
    </row>
    <row r="26" spans="2:7">
      <c r="B26" s="1" t="str">
        <f t="shared" ca="1" si="0"/>
        <v xml:space="preserve"> </v>
      </c>
      <c r="C26" s="1" t="str">
        <f>IF(NOT(DAY_SCH!A25=0),DAY_SCH!A25," ")</f>
        <v xml:space="preserve"> </v>
      </c>
    </row>
    <row r="27" spans="2:7">
      <c r="B27" s="1" t="str">
        <f t="shared" ca="1" si="0"/>
        <v xml:space="preserve"> </v>
      </c>
      <c r="C27" s="1" t="str">
        <f>IF(NOT(DAY_SCH!A26=0),DAY_SCH!A26," ")</f>
        <v xml:space="preserve"> </v>
      </c>
    </row>
    <row r="28" spans="2:7">
      <c r="B28" s="1" t="str">
        <f t="shared" ca="1" si="0"/>
        <v xml:space="preserve"> </v>
      </c>
      <c r="C28" s="1" t="str">
        <f>IF(NOT(DAY_SCH!A27=0),DAY_SCH!A27," ")</f>
        <v xml:space="preserve"> </v>
      </c>
    </row>
    <row r="29" spans="2:7">
      <c r="B29" s="1" t="str">
        <f t="shared" ca="1" si="0"/>
        <v xml:space="preserve"> </v>
      </c>
      <c r="C29" s="1" t="str">
        <f>IF(NOT(DAY_SCH!A28=0),DAY_SCH!A28," ")</f>
        <v xml:space="preserve"> </v>
      </c>
    </row>
    <row r="30" spans="2:7">
      <c r="B30" s="1" t="str">
        <f t="shared" ca="1" si="0"/>
        <v xml:space="preserve"> </v>
      </c>
      <c r="C30" s="1" t="str">
        <f>IF(NOT(DAY_SCH!A29=0),DAY_SCH!A29," ")</f>
        <v xml:space="preserve"> </v>
      </c>
    </row>
    <row r="31" spans="2:7">
      <c r="B31" s="1" t="str">
        <f t="shared" ca="1" si="0"/>
        <v xml:space="preserve"> </v>
      </c>
      <c r="C31" s="1" t="str">
        <f>IF(NOT(DAY_SCH!A30=0),DAY_SCH!A30," ")</f>
        <v xml:space="preserve"> </v>
      </c>
    </row>
    <row r="32" spans="2:7">
      <c r="B32" s="1" t="str">
        <f t="shared" ca="1" si="0"/>
        <v xml:space="preserve"> </v>
      </c>
      <c r="C32" s="1" t="str">
        <f>IF(NOT(DAY_SCH!A31=0),DAY_SCH!A31," ")</f>
        <v xml:space="preserve"> </v>
      </c>
    </row>
    <row r="33" spans="2:3">
      <c r="B33" s="1" t="str">
        <f t="shared" ca="1" si="0"/>
        <v xml:space="preserve"> </v>
      </c>
      <c r="C33" s="1" t="str">
        <f>IF(NOT(DAY_SCH!A32=0),DAY_SCH!A32," ")</f>
        <v xml:space="preserve"> </v>
      </c>
    </row>
    <row r="34" spans="2:3">
      <c r="B34" s="1" t="str">
        <f t="shared" ca="1" si="0"/>
        <v xml:space="preserve"> </v>
      </c>
      <c r="C34" s="1" t="str">
        <f>IF(NOT(DAY_SCH!A33=0),DAY_SCH!A33," ")</f>
        <v xml:space="preserve"> </v>
      </c>
    </row>
    <row r="35" spans="2:3">
      <c r="B35" s="1" t="str">
        <f t="shared" ca="1" si="0"/>
        <v xml:space="preserve"> </v>
      </c>
      <c r="C35" s="1" t="str">
        <f>IF(NOT(DAY_SCH!A34=0),DAY_SCH!A34," ")</f>
        <v xml:space="preserve"> </v>
      </c>
    </row>
    <row r="36" spans="2:3">
      <c r="B36" s="1" t="str">
        <f t="shared" ca="1" si="0"/>
        <v xml:space="preserve"> </v>
      </c>
      <c r="C36" s="1" t="str">
        <f>IF(NOT(DAY_SCH!A35=0),DAY_SCH!A35," ")</f>
        <v xml:space="preserve"> </v>
      </c>
    </row>
    <row r="37" spans="2:3">
      <c r="B37" s="1" t="str">
        <f t="shared" ca="1" si="0"/>
        <v xml:space="preserve"> </v>
      </c>
      <c r="C37" s="1" t="str">
        <f>IF(NOT(DAY_SCH!A36=0),DAY_SCH!A36," ")</f>
        <v xml:space="preserve"> </v>
      </c>
    </row>
    <row r="38" spans="2:3">
      <c r="B38" s="1" t="str">
        <f t="shared" ref="B38:B69" ca="1" si="1">IF(INDIRECT(ADDRESS((ROW(A33)-1)*14+5,3,4,1,"SCHEDULES"),1)=0," ",INDIRECT(ADDRESS((ROW(A33)-1)*14+5,3,4,1,"SCHEDULES"),1))</f>
        <v xml:space="preserve"> </v>
      </c>
      <c r="C38" s="1" t="str">
        <f>IF(NOT(DAY_SCH!A37=0),DAY_SCH!A37," ")</f>
        <v xml:space="preserve"> </v>
      </c>
    </row>
    <row r="39" spans="2:3">
      <c r="B39" s="1" t="str">
        <f t="shared" ca="1" si="1"/>
        <v xml:space="preserve"> </v>
      </c>
      <c r="C39" s="1" t="str">
        <f>IF(NOT(DAY_SCH!A38=0),DAY_SCH!A38," ")</f>
        <v xml:space="preserve"> </v>
      </c>
    </row>
    <row r="40" spans="2:3">
      <c r="B40" s="1" t="str">
        <f t="shared" ca="1" si="1"/>
        <v xml:space="preserve"> </v>
      </c>
      <c r="C40" s="1" t="str">
        <f>IF(NOT(DAY_SCH!A39=0),DAY_SCH!A39," ")</f>
        <v xml:space="preserve"> </v>
      </c>
    </row>
    <row r="41" spans="2:3">
      <c r="B41" s="1" t="str">
        <f t="shared" ca="1" si="1"/>
        <v xml:space="preserve"> </v>
      </c>
      <c r="C41" s="1" t="str">
        <f>IF(NOT(DAY_SCH!A40=0),DAY_SCH!A40," ")</f>
        <v xml:space="preserve"> </v>
      </c>
    </row>
    <row r="42" spans="2:3">
      <c r="B42" s="1" t="str">
        <f t="shared" ca="1" si="1"/>
        <v xml:space="preserve"> </v>
      </c>
      <c r="C42" s="1" t="str">
        <f>IF(NOT(DAY_SCH!A41=0),DAY_SCH!A41," ")</f>
        <v xml:space="preserve"> </v>
      </c>
    </row>
    <row r="43" spans="2:3">
      <c r="B43" s="1" t="str">
        <f t="shared" ca="1" si="1"/>
        <v xml:space="preserve"> </v>
      </c>
      <c r="C43" s="1" t="str">
        <f>IF(NOT(DAY_SCH!A42=0),DAY_SCH!A42," ")</f>
        <v xml:space="preserve"> </v>
      </c>
    </row>
    <row r="44" spans="2:3">
      <c r="B44" s="1" t="str">
        <f t="shared" ca="1" si="1"/>
        <v xml:space="preserve"> </v>
      </c>
      <c r="C44" s="1" t="str">
        <f>IF(NOT(DAY_SCH!A43=0),DAY_SCH!A43," ")</f>
        <v xml:space="preserve"> </v>
      </c>
    </row>
    <row r="45" spans="2:3">
      <c r="B45" s="1" t="str">
        <f t="shared" ca="1" si="1"/>
        <v xml:space="preserve"> </v>
      </c>
      <c r="C45" s="1" t="str">
        <f>IF(NOT(DAY_SCH!A44=0),DAY_SCH!A44," ")</f>
        <v xml:space="preserve"> </v>
      </c>
    </row>
    <row r="46" spans="2:3">
      <c r="B46" s="1" t="str">
        <f t="shared" ca="1" si="1"/>
        <v xml:space="preserve"> </v>
      </c>
      <c r="C46" s="1" t="str">
        <f>IF(NOT(DAY_SCH!A45=0),DAY_SCH!A45," ")</f>
        <v xml:space="preserve"> </v>
      </c>
    </row>
    <row r="47" spans="2:3">
      <c r="B47" s="1" t="str">
        <f t="shared" ca="1" si="1"/>
        <v xml:space="preserve"> </v>
      </c>
      <c r="C47" s="1" t="str">
        <f>IF(NOT(DAY_SCH!A46=0),DAY_SCH!A46," ")</f>
        <v xml:space="preserve"> </v>
      </c>
    </row>
    <row r="48" spans="2:3">
      <c r="B48" s="1" t="str">
        <f t="shared" ca="1" si="1"/>
        <v xml:space="preserve"> </v>
      </c>
      <c r="C48" s="1" t="str">
        <f>IF(NOT(DAY_SCH!A47=0),DAY_SCH!A47," ")</f>
        <v xml:space="preserve"> </v>
      </c>
    </row>
    <row r="49" spans="2:3">
      <c r="B49" s="1" t="str">
        <f t="shared" ca="1" si="1"/>
        <v xml:space="preserve"> </v>
      </c>
      <c r="C49" s="1" t="str">
        <f>IF(NOT(DAY_SCH!A48=0),DAY_SCH!A48," ")</f>
        <v xml:space="preserve"> </v>
      </c>
    </row>
    <row r="50" spans="2:3">
      <c r="B50" s="1" t="str">
        <f t="shared" ca="1" si="1"/>
        <v xml:space="preserve"> </v>
      </c>
      <c r="C50" s="1" t="str">
        <f>IF(NOT(DAY_SCH!A49=0),DAY_SCH!A49," ")</f>
        <v xml:space="preserve"> </v>
      </c>
    </row>
    <row r="51" spans="2:3">
      <c r="B51" s="1" t="str">
        <f t="shared" ca="1" si="1"/>
        <v xml:space="preserve"> </v>
      </c>
      <c r="C51" s="1" t="str">
        <f>IF(NOT(DAY_SCH!A50=0),DAY_SCH!A50," ")</f>
        <v xml:space="preserve"> </v>
      </c>
    </row>
    <row r="52" spans="2:3">
      <c r="B52" s="1" t="str">
        <f t="shared" ca="1" si="1"/>
        <v xml:space="preserve"> </v>
      </c>
      <c r="C52" s="1" t="str">
        <f>IF(NOT(DAY_SCH!A51=0),DAY_SCH!A51," ")</f>
        <v xml:space="preserve"> </v>
      </c>
    </row>
    <row r="53" spans="2:3">
      <c r="B53" s="1" t="str">
        <f t="shared" ca="1" si="1"/>
        <v xml:space="preserve"> </v>
      </c>
      <c r="C53" s="1" t="str">
        <f>IF(NOT(DAY_SCH!A52=0),DAY_SCH!A52," ")</f>
        <v xml:space="preserve"> </v>
      </c>
    </row>
    <row r="54" spans="2:3">
      <c r="B54" s="1" t="str">
        <f t="shared" ca="1" si="1"/>
        <v xml:space="preserve"> </v>
      </c>
      <c r="C54" s="1" t="str">
        <f>IF(NOT(DAY_SCH!A53=0),DAY_SCH!A53," ")</f>
        <v xml:space="preserve"> </v>
      </c>
    </row>
    <row r="55" spans="2:3">
      <c r="B55" s="1" t="str">
        <f t="shared" ca="1" si="1"/>
        <v xml:space="preserve"> </v>
      </c>
      <c r="C55" s="1" t="str">
        <f>IF(NOT(DAY_SCH!A54=0),DAY_SCH!A54," ")</f>
        <v xml:space="preserve"> </v>
      </c>
    </row>
    <row r="56" spans="2:3">
      <c r="B56" s="1" t="str">
        <f t="shared" ca="1" si="1"/>
        <v xml:space="preserve"> </v>
      </c>
      <c r="C56" s="1" t="str">
        <f>IF(NOT(DAY_SCH!A55=0),DAY_SCH!A55," ")</f>
        <v xml:space="preserve"> </v>
      </c>
    </row>
    <row r="57" spans="2:3">
      <c r="B57" s="1" t="str">
        <f t="shared" ca="1" si="1"/>
        <v xml:space="preserve"> </v>
      </c>
      <c r="C57" s="1" t="str">
        <f>IF(NOT(DAY_SCH!A56=0),DAY_SCH!A56," ")</f>
        <v xml:space="preserve"> </v>
      </c>
    </row>
    <row r="58" spans="2:3">
      <c r="B58" s="1" t="str">
        <f t="shared" ca="1" si="1"/>
        <v xml:space="preserve"> </v>
      </c>
      <c r="C58" s="1" t="str">
        <f>IF(NOT(DAY_SCH!A57=0),DAY_SCH!A57," ")</f>
        <v xml:space="preserve"> </v>
      </c>
    </row>
    <row r="59" spans="2:3">
      <c r="B59" s="1" t="str">
        <f t="shared" ca="1" si="1"/>
        <v xml:space="preserve"> </v>
      </c>
      <c r="C59" s="1" t="str">
        <f>IF(NOT(DAY_SCH!A58=0),DAY_SCH!A58," ")</f>
        <v xml:space="preserve"> </v>
      </c>
    </row>
    <row r="60" spans="2:3">
      <c r="B60" s="1" t="str">
        <f t="shared" ca="1" si="1"/>
        <v xml:space="preserve"> </v>
      </c>
      <c r="C60" s="1" t="str">
        <f>IF(NOT(DAY_SCH!A59=0),DAY_SCH!A59," ")</f>
        <v xml:space="preserve"> </v>
      </c>
    </row>
    <row r="61" spans="2:3">
      <c r="B61" s="1" t="str">
        <f t="shared" ca="1" si="1"/>
        <v xml:space="preserve"> </v>
      </c>
      <c r="C61" s="1" t="str">
        <f>IF(NOT(DAY_SCH!A60=0),DAY_SCH!A60," ")</f>
        <v xml:space="preserve"> </v>
      </c>
    </row>
    <row r="62" spans="2:3">
      <c r="B62" s="1" t="str">
        <f t="shared" ca="1" si="1"/>
        <v xml:space="preserve"> </v>
      </c>
      <c r="C62" s="1" t="str">
        <f>IF(NOT(DAY_SCH!A61=0),DAY_SCH!A61," ")</f>
        <v xml:space="preserve"> </v>
      </c>
    </row>
    <row r="63" spans="2:3">
      <c r="B63" s="1" t="str">
        <f t="shared" ca="1" si="1"/>
        <v xml:space="preserve"> </v>
      </c>
      <c r="C63" s="1" t="str">
        <f>IF(NOT(DAY_SCH!A62=0),DAY_SCH!A62," ")</f>
        <v xml:space="preserve"> </v>
      </c>
    </row>
    <row r="64" spans="2:3">
      <c r="B64" s="1" t="str">
        <f t="shared" ca="1" si="1"/>
        <v xml:space="preserve"> </v>
      </c>
      <c r="C64" s="1" t="str">
        <f>IF(NOT(DAY_SCH!A63=0),DAY_SCH!A63," ")</f>
        <v xml:space="preserve"> </v>
      </c>
    </row>
    <row r="65" spans="2:3">
      <c r="B65" s="1" t="str">
        <f t="shared" ca="1" si="1"/>
        <v xml:space="preserve"> </v>
      </c>
      <c r="C65" s="1" t="str">
        <f>IF(NOT(DAY_SCH!A64=0),DAY_SCH!A64," ")</f>
        <v xml:space="preserve"> </v>
      </c>
    </row>
    <row r="66" spans="2:3">
      <c r="B66" s="1" t="str">
        <f t="shared" ca="1" si="1"/>
        <v xml:space="preserve"> </v>
      </c>
      <c r="C66" s="1" t="str">
        <f>IF(NOT(DAY_SCH!A65=0),DAY_SCH!A65," ")</f>
        <v xml:space="preserve"> </v>
      </c>
    </row>
    <row r="67" spans="2:3">
      <c r="B67" s="1" t="str">
        <f t="shared" ca="1" si="1"/>
        <v xml:space="preserve"> </v>
      </c>
      <c r="C67" s="1" t="str">
        <f>IF(NOT(DAY_SCH!A66=0),DAY_SCH!A66," ")</f>
        <v xml:space="preserve"> </v>
      </c>
    </row>
    <row r="68" spans="2:3">
      <c r="B68" s="1" t="str">
        <f t="shared" ca="1" si="1"/>
        <v xml:space="preserve"> </v>
      </c>
      <c r="C68" s="1" t="str">
        <f>IF(NOT(DAY_SCH!A67=0),DAY_SCH!A67," ")</f>
        <v xml:space="preserve"> </v>
      </c>
    </row>
    <row r="69" spans="2:3">
      <c r="B69" s="1" t="str">
        <f t="shared" ca="1" si="1"/>
        <v xml:space="preserve"> </v>
      </c>
      <c r="C69" s="1" t="str">
        <f>IF(NOT(DAY_SCH!A68=0),DAY_SCH!A68," ")</f>
        <v xml:space="preserve"> </v>
      </c>
    </row>
    <row r="70" spans="2:3">
      <c r="B70" s="1" t="str">
        <f t="shared" ref="B70:B100" ca="1" si="2">IF(INDIRECT(ADDRESS((ROW(A65)-1)*14+5,3,4,1,"SCHEDULES"),1)=0," ",INDIRECT(ADDRESS((ROW(A65)-1)*14+5,3,4,1,"SCHEDULES"),1))</f>
        <v xml:space="preserve"> </v>
      </c>
      <c r="C70" s="1" t="str">
        <f>IF(NOT(DAY_SCH!A69=0),DAY_SCH!A69," ")</f>
        <v xml:space="preserve"> </v>
      </c>
    </row>
    <row r="71" spans="2:3">
      <c r="B71" s="1" t="str">
        <f t="shared" ca="1" si="2"/>
        <v xml:space="preserve"> </v>
      </c>
      <c r="C71" s="1" t="str">
        <f>IF(NOT(DAY_SCH!A70=0),DAY_SCH!A70," ")</f>
        <v xml:space="preserve"> </v>
      </c>
    </row>
    <row r="72" spans="2:3">
      <c r="B72" s="1" t="str">
        <f t="shared" ca="1" si="2"/>
        <v xml:space="preserve"> </v>
      </c>
      <c r="C72" s="1" t="str">
        <f>IF(NOT(DAY_SCH!A71=0),DAY_SCH!A71," ")</f>
        <v xml:space="preserve"> </v>
      </c>
    </row>
    <row r="73" spans="2:3">
      <c r="B73" s="1" t="str">
        <f t="shared" ca="1" si="2"/>
        <v xml:space="preserve"> </v>
      </c>
      <c r="C73" s="1" t="str">
        <f>IF(NOT(DAY_SCH!A72=0),DAY_SCH!A72," ")</f>
        <v xml:space="preserve"> </v>
      </c>
    </row>
    <row r="74" spans="2:3">
      <c r="B74" s="1" t="str">
        <f t="shared" ca="1" si="2"/>
        <v xml:space="preserve"> </v>
      </c>
      <c r="C74" s="1" t="str">
        <f>IF(NOT(DAY_SCH!A73=0),DAY_SCH!A73," ")</f>
        <v xml:space="preserve"> </v>
      </c>
    </row>
    <row r="75" spans="2:3">
      <c r="B75" s="1" t="str">
        <f t="shared" ca="1" si="2"/>
        <v xml:space="preserve"> </v>
      </c>
      <c r="C75" s="1" t="str">
        <f>IF(NOT(DAY_SCH!A74=0),DAY_SCH!A74," ")</f>
        <v xml:space="preserve"> </v>
      </c>
    </row>
    <row r="76" spans="2:3">
      <c r="B76" s="1" t="str">
        <f t="shared" ca="1" si="2"/>
        <v xml:space="preserve"> </v>
      </c>
      <c r="C76" s="1" t="str">
        <f>IF(NOT(DAY_SCH!A75=0),DAY_SCH!A75," ")</f>
        <v xml:space="preserve"> </v>
      </c>
    </row>
    <row r="77" spans="2:3">
      <c r="B77" s="1" t="str">
        <f t="shared" ca="1" si="2"/>
        <v xml:space="preserve"> </v>
      </c>
      <c r="C77" s="1" t="str">
        <f>IF(NOT(DAY_SCH!A76=0),DAY_SCH!A76," ")</f>
        <v xml:space="preserve"> </v>
      </c>
    </row>
    <row r="78" spans="2:3">
      <c r="B78" s="1" t="str">
        <f t="shared" ca="1" si="2"/>
        <v xml:space="preserve"> </v>
      </c>
      <c r="C78" s="1" t="str">
        <f>IF(NOT(DAY_SCH!A77=0),DAY_SCH!A77," ")</f>
        <v xml:space="preserve"> </v>
      </c>
    </row>
    <row r="79" spans="2:3">
      <c r="B79" s="1" t="str">
        <f t="shared" ca="1" si="2"/>
        <v xml:space="preserve"> </v>
      </c>
      <c r="C79" s="1" t="str">
        <f>IF(NOT(DAY_SCH!A78=0),DAY_SCH!A78," ")</f>
        <v xml:space="preserve"> </v>
      </c>
    </row>
    <row r="80" spans="2:3">
      <c r="B80" s="1" t="str">
        <f t="shared" ca="1" si="2"/>
        <v xml:space="preserve"> </v>
      </c>
      <c r="C80" s="1" t="str">
        <f>IF(NOT(DAY_SCH!A79=0),DAY_SCH!A79," ")</f>
        <v xml:space="preserve"> </v>
      </c>
    </row>
    <row r="81" spans="2:3">
      <c r="B81" s="1" t="str">
        <f t="shared" ca="1" si="2"/>
        <v xml:space="preserve"> </v>
      </c>
      <c r="C81" s="1" t="str">
        <f>IF(NOT(DAY_SCH!A80=0),DAY_SCH!A80," ")</f>
        <v xml:space="preserve"> </v>
      </c>
    </row>
    <row r="82" spans="2:3">
      <c r="B82" s="1" t="str">
        <f t="shared" ca="1" si="2"/>
        <v xml:space="preserve"> </v>
      </c>
      <c r="C82" s="1" t="str">
        <f>IF(NOT(DAY_SCH!A81=0),DAY_SCH!A81," ")</f>
        <v xml:space="preserve"> </v>
      </c>
    </row>
    <row r="83" spans="2:3">
      <c r="B83" s="1" t="str">
        <f t="shared" ca="1" si="2"/>
        <v xml:space="preserve"> </v>
      </c>
      <c r="C83" s="1" t="str">
        <f>IF(NOT(DAY_SCH!A82=0),DAY_SCH!A82," ")</f>
        <v xml:space="preserve"> </v>
      </c>
    </row>
    <row r="84" spans="2:3">
      <c r="B84" s="1" t="str">
        <f t="shared" ca="1" si="2"/>
        <v xml:space="preserve"> </v>
      </c>
      <c r="C84" s="1" t="str">
        <f>IF(NOT(DAY_SCH!A83=0),DAY_SCH!A83," ")</f>
        <v xml:space="preserve"> </v>
      </c>
    </row>
    <row r="85" spans="2:3">
      <c r="B85" s="1" t="str">
        <f t="shared" ca="1" si="2"/>
        <v xml:space="preserve"> </v>
      </c>
      <c r="C85" s="1" t="str">
        <f>IF(NOT(DAY_SCH!A84=0),DAY_SCH!A84," ")</f>
        <v xml:space="preserve"> </v>
      </c>
    </row>
    <row r="86" spans="2:3">
      <c r="B86" s="1" t="str">
        <f t="shared" ca="1" si="2"/>
        <v xml:space="preserve"> </v>
      </c>
      <c r="C86" s="1" t="str">
        <f>IF(NOT(DAY_SCH!A85=0),DAY_SCH!A85," ")</f>
        <v xml:space="preserve"> </v>
      </c>
    </row>
    <row r="87" spans="2:3">
      <c r="B87" s="1" t="str">
        <f t="shared" ca="1" si="2"/>
        <v xml:space="preserve"> </v>
      </c>
      <c r="C87" s="1" t="str">
        <f>IF(NOT(DAY_SCH!A86=0),DAY_SCH!A86," ")</f>
        <v xml:space="preserve"> </v>
      </c>
    </row>
    <row r="88" spans="2:3">
      <c r="B88" s="1" t="str">
        <f t="shared" ca="1" si="2"/>
        <v xml:space="preserve"> </v>
      </c>
      <c r="C88" s="1" t="str">
        <f>IF(NOT(DAY_SCH!A87=0),DAY_SCH!A87," ")</f>
        <v xml:space="preserve"> </v>
      </c>
    </row>
    <row r="89" spans="2:3">
      <c r="B89" s="1" t="str">
        <f t="shared" ca="1" si="2"/>
        <v xml:space="preserve"> </v>
      </c>
      <c r="C89" s="1" t="str">
        <f>IF(NOT(DAY_SCH!A88=0),DAY_SCH!A88," ")</f>
        <v xml:space="preserve"> </v>
      </c>
    </row>
    <row r="90" spans="2:3">
      <c r="B90" s="1" t="str">
        <f t="shared" ca="1" si="2"/>
        <v xml:space="preserve"> </v>
      </c>
      <c r="C90" s="1" t="str">
        <f>IF(NOT(DAY_SCH!A89=0),DAY_SCH!A89," ")</f>
        <v xml:space="preserve"> </v>
      </c>
    </row>
    <row r="91" spans="2:3">
      <c r="B91" s="1" t="str">
        <f t="shared" ca="1" si="2"/>
        <v xml:space="preserve"> </v>
      </c>
      <c r="C91" s="1" t="str">
        <f>IF(NOT(DAY_SCH!A90=0),DAY_SCH!A90," ")</f>
        <v xml:space="preserve"> </v>
      </c>
    </row>
    <row r="92" spans="2:3">
      <c r="B92" s="1" t="str">
        <f t="shared" ca="1" si="2"/>
        <v xml:space="preserve"> </v>
      </c>
      <c r="C92" s="1" t="str">
        <f>IF(NOT(DAY_SCH!A91=0),DAY_SCH!A91," ")</f>
        <v xml:space="preserve"> </v>
      </c>
    </row>
    <row r="93" spans="2:3">
      <c r="B93" s="1" t="str">
        <f t="shared" ca="1" si="2"/>
        <v xml:space="preserve"> </v>
      </c>
      <c r="C93" s="1" t="str">
        <f>IF(NOT(DAY_SCH!A92=0),DAY_SCH!A92," ")</f>
        <v xml:space="preserve"> </v>
      </c>
    </row>
    <row r="94" spans="2:3">
      <c r="B94" s="1" t="str">
        <f t="shared" ca="1" si="2"/>
        <v xml:space="preserve"> </v>
      </c>
      <c r="C94" s="1" t="str">
        <f>IF(NOT(DAY_SCH!A93=0),DAY_SCH!A93," ")</f>
        <v xml:space="preserve"> </v>
      </c>
    </row>
    <row r="95" spans="2:3">
      <c r="B95" s="1" t="str">
        <f t="shared" ca="1" si="2"/>
        <v xml:space="preserve"> </v>
      </c>
      <c r="C95" s="1" t="str">
        <f>IF(NOT(DAY_SCH!A94=0),DAY_SCH!A94," ")</f>
        <v xml:space="preserve"> </v>
      </c>
    </row>
    <row r="96" spans="2:3">
      <c r="B96" s="1" t="str">
        <f t="shared" ca="1" si="2"/>
        <v xml:space="preserve"> </v>
      </c>
      <c r="C96" s="1" t="str">
        <f>IF(NOT(DAY_SCH!A95=0),DAY_SCH!A95," ")</f>
        <v xml:space="preserve"> </v>
      </c>
    </row>
    <row r="97" spans="2:3">
      <c r="B97" s="1" t="str">
        <f t="shared" ca="1" si="2"/>
        <v xml:space="preserve"> </v>
      </c>
      <c r="C97" s="1" t="str">
        <f>IF(NOT(DAY_SCH!A96=0),DAY_SCH!A96," ")</f>
        <v xml:space="preserve"> </v>
      </c>
    </row>
    <row r="98" spans="2:3">
      <c r="B98" s="1" t="str">
        <f t="shared" ca="1" si="2"/>
        <v xml:space="preserve"> </v>
      </c>
      <c r="C98" s="1" t="str">
        <f>IF(NOT(DAY_SCH!A97=0),DAY_SCH!A97," ")</f>
        <v xml:space="preserve"> </v>
      </c>
    </row>
    <row r="99" spans="2:3">
      <c r="B99" s="1" t="str">
        <f t="shared" ca="1" si="2"/>
        <v xml:space="preserve"> </v>
      </c>
      <c r="C99" s="1" t="str">
        <f>IF(NOT(DAY_SCH!A98=0),DAY_SCH!A98," ")</f>
        <v xml:space="preserve"> </v>
      </c>
    </row>
    <row r="100" spans="2:3">
      <c r="B100" s="1" t="str">
        <f t="shared" ca="1" si="2"/>
        <v xml:space="preserve"> </v>
      </c>
      <c r="C100" s="1" t="str">
        <f>IF(NOT(DAY_SCH!A99=0),DAY_SCH!A99," ")</f>
        <v xml:space="preserve"> </v>
      </c>
    </row>
    <row r="101" spans="2:3">
      <c r="C101" s="1" t="str">
        <f>IF(NOT(DAY_SCH!A100=0),DAY_SCH!A100," ")</f>
        <v xml:space="preserve"> </v>
      </c>
    </row>
    <row r="102" spans="2:3">
      <c r="C102" s="1" t="str">
        <f>IF(NOT(DAY_SCH!A101=0),DAY_SCH!A101," ")</f>
        <v xml:space="preserve"> </v>
      </c>
    </row>
    <row r="103" spans="2:3">
      <c r="C103" s="1" t="str">
        <f>IF(NOT(DAY_SCH!A102=0),DAY_SCH!A102," ")</f>
        <v xml:space="preserve"> 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zoomScaleNormal="100" zoomScalePageLayoutView="60" workbookViewId="0"/>
  </sheetViews>
  <sheetFormatPr defaultRowHeight="14.25"/>
  <cols>
    <col min="1" max="1" width="1.5" style="1"/>
    <col min="2" max="2" width="4.875" style="1"/>
    <col min="3" max="3" width="41.25" style="1"/>
    <col min="4" max="5" width="8.625" style="1"/>
    <col min="6" max="8" width="0" style="1" hidden="1"/>
    <col min="9" max="9" width="6.25" style="1"/>
    <col min="10" max="10" width="26.25" style="1"/>
    <col min="11" max="11" width="6.25" style="1"/>
    <col min="12" max="12" width="26.25" style="1"/>
    <col min="13" max="13" width="6.25" style="1"/>
    <col min="14" max="14" width="26.25" style="1"/>
    <col min="15" max="15" width="6.25" style="1"/>
    <col min="16" max="16" width="26.25" style="1"/>
    <col min="17" max="17" width="6.25" style="1"/>
    <col min="18" max="18" width="26.25" style="1"/>
    <col min="19" max="19" width="3.875" style="1"/>
    <col min="20" max="1025" width="12" style="1"/>
  </cols>
  <sheetData>
    <row r="1" spans="1:19" s="316" customFormat="1" ht="21.4" customHeight="1">
      <c r="B1" s="316" t="s">
        <v>4</v>
      </c>
      <c r="C1" s="316" t="s">
        <v>5</v>
      </c>
      <c r="D1" s="316" t="s">
        <v>7</v>
      </c>
      <c r="E1" s="316" t="s">
        <v>8</v>
      </c>
      <c r="I1" s="316" t="s">
        <v>9</v>
      </c>
      <c r="J1" s="316" t="s">
        <v>1170</v>
      </c>
      <c r="K1" s="316" t="s">
        <v>11</v>
      </c>
      <c r="L1" s="316" t="s">
        <v>1171</v>
      </c>
      <c r="M1" s="316" t="s">
        <v>13</v>
      </c>
      <c r="N1" s="316" t="s">
        <v>1172</v>
      </c>
      <c r="O1" s="316" t="s">
        <v>15</v>
      </c>
      <c r="P1" s="316" t="s">
        <v>1173</v>
      </c>
      <c r="Q1" s="316" t="s">
        <v>17</v>
      </c>
      <c r="R1" s="316" t="s">
        <v>1174</v>
      </c>
    </row>
    <row r="2" spans="1:19" ht="17.100000000000001" customHeight="1">
      <c r="A2" s="317"/>
      <c r="B2" s="441" t="s">
        <v>498</v>
      </c>
      <c r="C2" s="441"/>
      <c r="D2" s="442"/>
      <c r="E2" s="442"/>
      <c r="F2" s="442"/>
      <c r="G2" s="442"/>
      <c r="H2" s="78"/>
      <c r="I2" s="111"/>
      <c r="J2" s="111"/>
      <c r="K2" s="318"/>
      <c r="L2" s="318"/>
      <c r="M2" s="319"/>
      <c r="N2" s="78"/>
      <c r="O2" s="111"/>
      <c r="P2" s="78"/>
      <c r="Q2" s="78"/>
      <c r="R2" s="202"/>
      <c r="S2" s="111"/>
    </row>
    <row r="3" spans="1:19" ht="15" customHeight="1">
      <c r="A3" s="320"/>
      <c r="B3" s="321"/>
      <c r="C3" s="321"/>
      <c r="D3" s="443" t="s">
        <v>160</v>
      </c>
      <c r="E3" s="443"/>
      <c r="F3" s="443"/>
      <c r="G3" s="443"/>
      <c r="H3" s="323"/>
      <c r="I3" s="322"/>
      <c r="J3" s="321"/>
      <c r="K3" s="321"/>
      <c r="L3" s="321"/>
      <c r="M3" s="321"/>
      <c r="N3" s="321"/>
      <c r="O3" s="321"/>
      <c r="P3" s="321"/>
      <c r="Q3" s="324"/>
      <c r="R3" s="321"/>
      <c r="S3" s="213"/>
    </row>
    <row r="4" spans="1:19" ht="32.1" customHeight="1">
      <c r="A4" s="325"/>
      <c r="B4" s="323" t="s">
        <v>25</v>
      </c>
      <c r="C4" s="326" t="s">
        <v>163</v>
      </c>
      <c r="D4" s="327" t="s">
        <v>28</v>
      </c>
      <c r="E4" s="328" t="s">
        <v>29</v>
      </c>
      <c r="F4" s="327" t="s">
        <v>28</v>
      </c>
      <c r="G4" s="328" t="s">
        <v>499</v>
      </c>
      <c r="H4" s="329"/>
      <c r="I4" s="439" t="s">
        <v>30</v>
      </c>
      <c r="J4" s="439"/>
      <c r="K4" s="439" t="s">
        <v>31</v>
      </c>
      <c r="L4" s="439"/>
      <c r="M4" s="439" t="s">
        <v>32</v>
      </c>
      <c r="N4" s="439"/>
      <c r="O4" s="440" t="s">
        <v>33</v>
      </c>
      <c r="P4" s="440"/>
      <c r="Q4" s="440" t="s">
        <v>34</v>
      </c>
      <c r="R4" s="440"/>
      <c r="S4" s="111"/>
    </row>
    <row r="5" spans="1:19" ht="16.350000000000001" customHeight="1">
      <c r="A5" s="320"/>
      <c r="B5" s="330"/>
      <c r="C5" s="331"/>
      <c r="D5" s="332" t="s">
        <v>500</v>
      </c>
      <c r="E5" s="333" t="s">
        <v>501</v>
      </c>
      <c r="F5" s="332" t="s">
        <v>502</v>
      </c>
      <c r="G5" s="333" t="s">
        <v>503</v>
      </c>
      <c r="H5" s="334"/>
      <c r="I5" s="335" t="s">
        <v>40</v>
      </c>
      <c r="J5" s="336" t="s">
        <v>41</v>
      </c>
      <c r="K5" s="337" t="str">
        <f>$I5</f>
        <v>ID</v>
      </c>
      <c r="L5" s="336" t="s">
        <v>41</v>
      </c>
      <c r="M5" s="337" t="str">
        <f>$I5</f>
        <v>ID</v>
      </c>
      <c r="N5" s="336" t="s">
        <v>41</v>
      </c>
      <c r="O5" s="337" t="str">
        <f>$I5</f>
        <v>ID</v>
      </c>
      <c r="P5" s="336" t="s">
        <v>41</v>
      </c>
      <c r="Q5" s="337" t="str">
        <f>$I5</f>
        <v>ID</v>
      </c>
      <c r="R5" s="336" t="s">
        <v>41</v>
      </c>
      <c r="S5" s="111"/>
    </row>
    <row r="6" spans="1:19" ht="24.6" customHeight="1">
      <c r="A6" s="338"/>
      <c r="B6" s="339"/>
      <c r="C6" s="340"/>
      <c r="D6" s="341"/>
      <c r="E6" s="340"/>
      <c r="F6" s="341"/>
      <c r="G6" s="342"/>
      <c r="H6" s="342"/>
      <c r="I6" s="341"/>
      <c r="J6" s="340"/>
      <c r="K6" s="342"/>
      <c r="L6" s="340"/>
      <c r="M6" s="343"/>
      <c r="N6" s="340"/>
      <c r="O6" s="342"/>
      <c r="P6" s="340"/>
      <c r="Q6" s="342"/>
      <c r="R6" s="344" t="str">
        <f>""</f>
        <v/>
      </c>
      <c r="S6" s="111"/>
    </row>
    <row r="7" spans="1:19" ht="25.35" customHeight="1">
      <c r="A7" s="320"/>
      <c r="B7" s="345">
        <v>1</v>
      </c>
      <c r="C7" s="346" t="s">
        <v>504</v>
      </c>
      <c r="D7" s="347">
        <v>0.46562717129194398</v>
      </c>
      <c r="E7" s="348">
        <v>1.9976409918806199</v>
      </c>
      <c r="F7" s="349">
        <v>8.2005489836552301E-2</v>
      </c>
      <c r="G7" s="350">
        <v>11.342605551898201</v>
      </c>
      <c r="H7" s="351"/>
      <c r="I7" s="349" t="s">
        <v>505</v>
      </c>
      <c r="J7" s="352" t="s">
        <v>506</v>
      </c>
      <c r="K7" s="349" t="s">
        <v>507</v>
      </c>
      <c r="L7" s="352" t="s">
        <v>508</v>
      </c>
      <c r="M7" s="349" t="s">
        <v>509</v>
      </c>
      <c r="N7" s="352" t="s">
        <v>510</v>
      </c>
      <c r="O7" s="349"/>
      <c r="P7" s="352"/>
      <c r="Q7" s="349"/>
      <c r="R7" s="352"/>
      <c r="S7" s="111"/>
    </row>
    <row r="8" spans="1:19" ht="28.35" customHeight="1">
      <c r="A8" s="320"/>
      <c r="B8" s="345">
        <v>2</v>
      </c>
      <c r="C8" s="346" t="s">
        <v>511</v>
      </c>
      <c r="D8" s="347">
        <v>0.31054942145149</v>
      </c>
      <c r="E8" s="348">
        <v>3.0700993816895799</v>
      </c>
      <c r="F8" s="349">
        <v>5.4693452175324099E-2</v>
      </c>
      <c r="G8" s="350">
        <v>17.4320242892334</v>
      </c>
      <c r="H8" s="351"/>
      <c r="I8" s="349" t="s">
        <v>512</v>
      </c>
      <c r="J8" s="352" t="s">
        <v>513</v>
      </c>
      <c r="K8" s="349" t="s">
        <v>514</v>
      </c>
      <c r="L8" s="352" t="s">
        <v>515</v>
      </c>
      <c r="M8" s="349" t="s">
        <v>516</v>
      </c>
      <c r="N8" s="352" t="s">
        <v>517</v>
      </c>
      <c r="O8" s="349"/>
      <c r="P8" s="352"/>
      <c r="Q8" s="349"/>
      <c r="R8" s="352"/>
      <c r="S8" s="111"/>
    </row>
    <row r="9" spans="1:19" ht="38.85" customHeight="1">
      <c r="A9" s="320"/>
      <c r="B9" s="345">
        <v>3</v>
      </c>
      <c r="C9" s="346" t="s">
        <v>518</v>
      </c>
      <c r="D9" s="347">
        <v>0.469231957422163</v>
      </c>
      <c r="E9" s="348">
        <v>1.9811421444816699</v>
      </c>
      <c r="F9" s="349">
        <v>8.2640358827432703E-2</v>
      </c>
      <c r="G9" s="350">
        <v>11.2489250963669</v>
      </c>
      <c r="H9" s="351"/>
      <c r="I9" s="349" t="s">
        <v>519</v>
      </c>
      <c r="J9" s="352" t="s">
        <v>520</v>
      </c>
      <c r="K9" s="349" t="s">
        <v>521</v>
      </c>
      <c r="L9" s="352" t="s">
        <v>522</v>
      </c>
      <c r="M9" s="349" t="s">
        <v>523</v>
      </c>
      <c r="N9" s="352" t="s">
        <v>524</v>
      </c>
      <c r="O9" s="349"/>
      <c r="P9" s="352"/>
      <c r="Q9" s="349"/>
      <c r="R9" s="352"/>
      <c r="S9" s="111"/>
    </row>
    <row r="10" spans="1:19" ht="27">
      <c r="A10" s="320"/>
      <c r="B10" s="345">
        <v>4</v>
      </c>
      <c r="C10" s="346" t="s">
        <v>525</v>
      </c>
      <c r="D10" s="347">
        <v>0.66514687247853199</v>
      </c>
      <c r="E10" s="348">
        <v>1.35342735022373</v>
      </c>
      <c r="F10" s="349">
        <v>0.117144570707737</v>
      </c>
      <c r="G10" s="350">
        <v>7.6847604945703401</v>
      </c>
      <c r="H10" s="351"/>
      <c r="I10" s="349" t="s">
        <v>526</v>
      </c>
      <c r="J10" s="352" t="s">
        <v>527</v>
      </c>
      <c r="K10" s="349" t="s">
        <v>528</v>
      </c>
      <c r="L10" s="352" t="s">
        <v>529</v>
      </c>
      <c r="M10" s="349" t="s">
        <v>530</v>
      </c>
      <c r="N10" s="352" t="s">
        <v>531</v>
      </c>
      <c r="O10" s="349"/>
      <c r="P10" s="352"/>
      <c r="Q10" s="349"/>
      <c r="R10" s="352"/>
      <c r="S10" s="111"/>
    </row>
    <row r="11" spans="1:19" ht="27">
      <c r="A11" s="320"/>
      <c r="B11" s="345">
        <v>5</v>
      </c>
      <c r="C11" s="346" t="s">
        <v>532</v>
      </c>
      <c r="D11" s="347">
        <v>0.49079867563267798</v>
      </c>
      <c r="E11" s="348">
        <v>1.88749531049757</v>
      </c>
      <c r="F11" s="349">
        <v>8.6438653686628703E-2</v>
      </c>
      <c r="G11" s="350">
        <v>10.7171983730052</v>
      </c>
      <c r="H11" s="351"/>
      <c r="I11" s="349" t="s">
        <v>533</v>
      </c>
      <c r="J11" s="352" t="s">
        <v>534</v>
      </c>
      <c r="K11" s="349" t="s">
        <v>535</v>
      </c>
      <c r="L11" s="352" t="s">
        <v>536</v>
      </c>
      <c r="M11" s="349" t="s">
        <v>537</v>
      </c>
      <c r="N11" s="352" t="s">
        <v>538</v>
      </c>
      <c r="O11" s="349"/>
      <c r="P11" s="352"/>
      <c r="Q11" s="349"/>
      <c r="R11" s="352"/>
      <c r="S11" s="111"/>
    </row>
    <row r="12" spans="1:19">
      <c r="A12" s="320"/>
      <c r="B12" s="345">
        <v>6</v>
      </c>
      <c r="C12" s="346" t="s">
        <v>539</v>
      </c>
      <c r="D12" s="347">
        <v>0.58592652873099704</v>
      </c>
      <c r="E12" s="348">
        <v>1.55669862340216</v>
      </c>
      <c r="F12" s="349">
        <v>0.10319241435910501</v>
      </c>
      <c r="G12" s="350">
        <v>8.8389347836774608</v>
      </c>
      <c r="H12" s="351"/>
      <c r="I12" s="349" t="s">
        <v>540</v>
      </c>
      <c r="J12" s="352" t="s">
        <v>541</v>
      </c>
      <c r="K12" s="349" t="s">
        <v>542</v>
      </c>
      <c r="L12" s="352" t="s">
        <v>543</v>
      </c>
      <c r="M12" s="349" t="s">
        <v>544</v>
      </c>
      <c r="N12" s="352" t="s">
        <v>545</v>
      </c>
      <c r="O12" s="349"/>
      <c r="P12" s="352"/>
      <c r="Q12" s="349"/>
      <c r="R12" s="352"/>
      <c r="S12" s="111"/>
    </row>
    <row r="13" spans="1:19">
      <c r="A13" s="320"/>
      <c r="B13" s="345">
        <v>7</v>
      </c>
      <c r="C13" s="346" t="s">
        <v>546</v>
      </c>
      <c r="D13" s="347">
        <v>0.415730542371889</v>
      </c>
      <c r="E13" s="348">
        <v>2.2554042175844198</v>
      </c>
      <c r="F13" s="349">
        <v>7.3217777804136894E-2</v>
      </c>
      <c r="G13" s="350">
        <v>12.8061851474443</v>
      </c>
      <c r="H13" s="351"/>
      <c r="I13" s="349" t="s">
        <v>547</v>
      </c>
      <c r="J13" s="352" t="s">
        <v>548</v>
      </c>
      <c r="K13" s="349" t="s">
        <v>549</v>
      </c>
      <c r="L13" s="352" t="s">
        <v>550</v>
      </c>
      <c r="M13" s="349" t="s">
        <v>551</v>
      </c>
      <c r="N13" s="352" t="s">
        <v>552</v>
      </c>
      <c r="O13" s="349"/>
      <c r="P13" s="352"/>
      <c r="Q13" s="349"/>
      <c r="R13" s="352"/>
      <c r="S13" s="111"/>
    </row>
    <row r="14" spans="1:19">
      <c r="A14" s="320"/>
      <c r="B14" s="345">
        <v>8</v>
      </c>
      <c r="C14" s="346" t="s">
        <v>553</v>
      </c>
      <c r="D14" s="347">
        <v>0.46558769764452501</v>
      </c>
      <c r="E14" s="348">
        <v>1.9978230740613301</v>
      </c>
      <c r="F14" s="349">
        <v>8.1998537802839902E-2</v>
      </c>
      <c r="G14" s="350">
        <v>11.343639414520201</v>
      </c>
      <c r="H14" s="351"/>
      <c r="I14" s="349" t="s">
        <v>554</v>
      </c>
      <c r="J14" s="352" t="s">
        <v>555</v>
      </c>
      <c r="K14" s="349" t="s">
        <v>556</v>
      </c>
      <c r="L14" s="352" t="s">
        <v>557</v>
      </c>
      <c r="M14" s="349" t="s">
        <v>558</v>
      </c>
      <c r="N14" s="352" t="s">
        <v>559</v>
      </c>
      <c r="O14" s="349"/>
      <c r="P14" s="352"/>
      <c r="Q14" s="349"/>
      <c r="R14" s="352"/>
      <c r="S14" s="111"/>
    </row>
    <row r="15" spans="1:19">
      <c r="A15" s="320"/>
      <c r="B15" s="345">
        <v>9</v>
      </c>
      <c r="C15" s="346" t="s">
        <v>560</v>
      </c>
      <c r="D15" s="347">
        <v>0.36073093828644798</v>
      </c>
      <c r="E15" s="348">
        <v>2.6221492499374199</v>
      </c>
      <c r="F15" s="349">
        <v>6.3531338197683696E-2</v>
      </c>
      <c r="G15" s="350">
        <v>14.888563441144701</v>
      </c>
      <c r="H15" s="351"/>
      <c r="I15" s="349" t="s">
        <v>561</v>
      </c>
      <c r="J15" s="352" t="s">
        <v>562</v>
      </c>
      <c r="K15" s="349" t="s">
        <v>563</v>
      </c>
      <c r="L15" s="352" t="s">
        <v>564</v>
      </c>
      <c r="M15" s="349" t="s">
        <v>565</v>
      </c>
      <c r="N15" s="352" t="s">
        <v>552</v>
      </c>
      <c r="O15" s="349"/>
      <c r="P15" s="352"/>
      <c r="Q15" s="349"/>
      <c r="R15" s="352"/>
      <c r="S15" s="111"/>
    </row>
    <row r="16" spans="1:19">
      <c r="A16" s="320"/>
      <c r="B16" s="345">
        <v>10</v>
      </c>
      <c r="C16" s="346" t="s">
        <v>566</v>
      </c>
      <c r="D16" s="347">
        <v>0.40716646874518098</v>
      </c>
      <c r="E16" s="348">
        <v>2.3059979191848301</v>
      </c>
      <c r="F16" s="349">
        <v>7.17094872746004E-2</v>
      </c>
      <c r="G16" s="350">
        <v>13.093456185131499</v>
      </c>
      <c r="H16" s="351"/>
      <c r="I16" s="349" t="s">
        <v>567</v>
      </c>
      <c r="J16" s="352" t="s">
        <v>548</v>
      </c>
      <c r="K16" s="349" t="s">
        <v>568</v>
      </c>
      <c r="L16" s="352" t="s">
        <v>550</v>
      </c>
      <c r="M16" s="349" t="s">
        <v>569</v>
      </c>
      <c r="N16" s="352" t="s">
        <v>570</v>
      </c>
      <c r="O16" s="349"/>
      <c r="P16" s="352"/>
      <c r="Q16" s="349"/>
      <c r="R16" s="352"/>
      <c r="S16" s="111"/>
    </row>
    <row r="17" spans="1:19" ht="27">
      <c r="A17" s="320"/>
      <c r="B17" s="345">
        <v>11</v>
      </c>
      <c r="C17" s="346" t="s">
        <v>571</v>
      </c>
      <c r="D17" s="347">
        <v>2.5739172721722801</v>
      </c>
      <c r="E17" s="348">
        <v>0.238512875223857</v>
      </c>
      <c r="F17" s="349">
        <v>0.45331406695531501</v>
      </c>
      <c r="G17" s="350">
        <v>1.3542761055210599</v>
      </c>
      <c r="H17" s="351"/>
      <c r="I17" s="349" t="s">
        <v>572</v>
      </c>
      <c r="J17" s="352" t="s">
        <v>573</v>
      </c>
      <c r="K17" s="349" t="s">
        <v>574</v>
      </c>
      <c r="L17" s="352" t="s">
        <v>575</v>
      </c>
      <c r="M17" s="349" t="s">
        <v>576</v>
      </c>
      <c r="N17" s="352" t="s">
        <v>577</v>
      </c>
      <c r="O17" s="349"/>
      <c r="P17" s="352"/>
      <c r="Q17" s="349"/>
      <c r="R17" s="352"/>
      <c r="S17" s="111"/>
    </row>
    <row r="18" spans="1:19">
      <c r="A18" s="320"/>
      <c r="B18" s="345">
        <v>12</v>
      </c>
      <c r="C18" s="346" t="s">
        <v>578</v>
      </c>
      <c r="D18" s="347">
        <v>0.50965775941182301</v>
      </c>
      <c r="E18" s="348">
        <v>1.81210100117786</v>
      </c>
      <c r="F18" s="349">
        <v>8.9760084433220005E-2</v>
      </c>
      <c r="G18" s="350">
        <v>10.2891094846879</v>
      </c>
      <c r="H18" s="351"/>
      <c r="I18" s="349" t="s">
        <v>579</v>
      </c>
      <c r="J18" s="352" t="s">
        <v>580</v>
      </c>
      <c r="K18" s="349" t="s">
        <v>581</v>
      </c>
      <c r="L18" s="352" t="s">
        <v>582</v>
      </c>
      <c r="M18" s="349" t="s">
        <v>583</v>
      </c>
      <c r="N18" s="352" t="s">
        <v>584</v>
      </c>
      <c r="O18" s="349" t="s">
        <v>585</v>
      </c>
      <c r="P18" s="352" t="s">
        <v>586</v>
      </c>
      <c r="Q18" s="349"/>
      <c r="R18" s="352"/>
      <c r="S18" s="111"/>
    </row>
    <row r="19" spans="1:19">
      <c r="A19" s="320"/>
      <c r="B19" s="345">
        <v>13</v>
      </c>
      <c r="C19" s="346" t="s">
        <v>587</v>
      </c>
      <c r="D19" s="347">
        <v>1.5150793272666601</v>
      </c>
      <c r="E19" s="348">
        <v>0.51003144654088095</v>
      </c>
      <c r="F19" s="349">
        <v>0.26683327355876402</v>
      </c>
      <c r="G19" s="350">
        <v>2.8959585534591201</v>
      </c>
      <c r="H19" s="351"/>
      <c r="I19" s="349" t="s">
        <v>588</v>
      </c>
      <c r="J19" s="352" t="s">
        <v>589</v>
      </c>
      <c r="K19" s="349" t="s">
        <v>590</v>
      </c>
      <c r="L19" s="352" t="s">
        <v>591</v>
      </c>
      <c r="M19" s="349" t="s">
        <v>592</v>
      </c>
      <c r="N19" s="352" t="s">
        <v>593</v>
      </c>
      <c r="O19" s="349"/>
      <c r="P19" s="352"/>
      <c r="Q19" s="349"/>
      <c r="R19" s="352"/>
      <c r="S19" s="111"/>
    </row>
    <row r="20" spans="1:19">
      <c r="A20" s="320"/>
      <c r="B20" s="345">
        <v>14</v>
      </c>
      <c r="C20" s="346" t="s">
        <v>594</v>
      </c>
      <c r="D20" s="347">
        <v>2.5806451612903198</v>
      </c>
      <c r="E20" s="348">
        <v>0.23749999999999999</v>
      </c>
      <c r="F20" s="349">
        <v>0.454498971696076</v>
      </c>
      <c r="G20" s="350">
        <v>1.348525</v>
      </c>
      <c r="H20" s="351"/>
      <c r="I20" s="349" t="s">
        <v>585</v>
      </c>
      <c r="J20" s="352" t="s">
        <v>586</v>
      </c>
      <c r="K20" s="349" t="s">
        <v>583</v>
      </c>
      <c r="L20" s="352" t="s">
        <v>584</v>
      </c>
      <c r="M20" s="349" t="s">
        <v>585</v>
      </c>
      <c r="N20" s="352" t="s">
        <v>586</v>
      </c>
      <c r="O20" s="349"/>
      <c r="P20" s="352"/>
      <c r="Q20" s="349"/>
      <c r="R20" s="352"/>
      <c r="S20" s="111"/>
    </row>
    <row r="21" spans="1:19">
      <c r="A21" s="320"/>
      <c r="B21" s="345">
        <v>15</v>
      </c>
      <c r="C21" s="346" t="s">
        <v>595</v>
      </c>
      <c r="D21" s="347">
        <v>1.5150793272666601</v>
      </c>
      <c r="E21" s="348">
        <v>0.51003144654088095</v>
      </c>
      <c r="F21" s="349">
        <v>0.26683327355876402</v>
      </c>
      <c r="G21" s="350">
        <v>2.8959585534591201</v>
      </c>
      <c r="H21" s="351"/>
      <c r="I21" s="349" t="s">
        <v>592</v>
      </c>
      <c r="J21" s="352" t="s">
        <v>593</v>
      </c>
      <c r="K21" s="349" t="s">
        <v>590</v>
      </c>
      <c r="L21" s="352" t="s">
        <v>591</v>
      </c>
      <c r="M21" s="349" t="s">
        <v>588</v>
      </c>
      <c r="N21" s="352" t="s">
        <v>589</v>
      </c>
      <c r="O21" s="349"/>
      <c r="P21" s="352"/>
      <c r="Q21" s="349"/>
      <c r="R21" s="352"/>
      <c r="S21" s="111"/>
    </row>
    <row r="22" spans="1:19">
      <c r="A22" s="320"/>
      <c r="B22" s="345">
        <v>16</v>
      </c>
      <c r="C22" s="346" t="s">
        <v>596</v>
      </c>
      <c r="D22" s="347">
        <v>3.1315240083507301</v>
      </c>
      <c r="E22" s="348">
        <v>0.169333333333333</v>
      </c>
      <c r="F22" s="349">
        <v>0.551518846134331</v>
      </c>
      <c r="G22" s="350">
        <v>0.96147466666666503</v>
      </c>
      <c r="H22" s="351"/>
      <c r="I22" s="349" t="s">
        <v>597</v>
      </c>
      <c r="J22" s="352" t="s">
        <v>598</v>
      </c>
      <c r="K22" s="349"/>
      <c r="L22" s="352"/>
      <c r="M22" s="349"/>
      <c r="N22" s="352"/>
      <c r="O22" s="349"/>
      <c r="P22" s="352"/>
      <c r="Q22" s="349"/>
      <c r="R22" s="352"/>
      <c r="S22" s="111"/>
    </row>
    <row r="23" spans="1:19">
      <c r="A23" s="320"/>
      <c r="B23" s="345">
        <v>17</v>
      </c>
      <c r="C23" s="346" t="s">
        <v>599</v>
      </c>
      <c r="D23" s="347">
        <v>0.48163973978826802</v>
      </c>
      <c r="E23" s="348">
        <v>1.92624063670412</v>
      </c>
      <c r="F23" s="349">
        <v>8.4825597003921796E-2</v>
      </c>
      <c r="G23" s="350">
        <v>10.937194335206</v>
      </c>
      <c r="H23" s="351"/>
      <c r="I23" s="349" t="s">
        <v>600</v>
      </c>
      <c r="J23" s="352" t="s">
        <v>601</v>
      </c>
      <c r="K23" s="349" t="s">
        <v>581</v>
      </c>
      <c r="L23" s="352" t="s">
        <v>582</v>
      </c>
      <c r="M23" s="349" t="s">
        <v>583</v>
      </c>
      <c r="N23" s="352" t="s">
        <v>584</v>
      </c>
      <c r="O23" s="349" t="s">
        <v>585</v>
      </c>
      <c r="P23" s="352" t="s">
        <v>586</v>
      </c>
      <c r="Q23" s="349"/>
      <c r="R23" s="352"/>
      <c r="S23" s="111"/>
    </row>
    <row r="24" spans="1:19">
      <c r="A24" s="320"/>
      <c r="B24" s="345">
        <v>18</v>
      </c>
      <c r="C24" s="346" t="s">
        <v>602</v>
      </c>
      <c r="D24" s="347">
        <v>1.9214662265359399</v>
      </c>
      <c r="E24" s="348">
        <v>0.370435897435897</v>
      </c>
      <c r="F24" s="349">
        <v>0.33840546434236402</v>
      </c>
      <c r="G24" s="350">
        <v>2.1033350256410199</v>
      </c>
      <c r="H24" s="351"/>
      <c r="I24" s="349" t="s">
        <v>603</v>
      </c>
      <c r="J24" s="352" t="s">
        <v>604</v>
      </c>
      <c r="K24" s="349" t="s">
        <v>590</v>
      </c>
      <c r="L24" s="352" t="s">
        <v>591</v>
      </c>
      <c r="M24" s="349" t="s">
        <v>592</v>
      </c>
      <c r="N24" s="352" t="s">
        <v>593</v>
      </c>
      <c r="O24" s="349"/>
      <c r="P24" s="352"/>
      <c r="Q24" s="349"/>
      <c r="R24" s="352"/>
      <c r="S24" s="111"/>
    </row>
    <row r="25" spans="1:19">
      <c r="A25" s="320"/>
      <c r="B25" s="345">
        <v>19</v>
      </c>
      <c r="C25" s="346" t="s">
        <v>605</v>
      </c>
      <c r="D25" s="347">
        <v>2.5806451612903198</v>
      </c>
      <c r="E25" s="348">
        <v>0.23749999999999999</v>
      </c>
      <c r="F25" s="349">
        <v>0.454498971696076</v>
      </c>
      <c r="G25" s="350">
        <v>1.348525</v>
      </c>
      <c r="H25" s="351"/>
      <c r="I25" s="349" t="s">
        <v>585</v>
      </c>
      <c r="J25" s="352" t="s">
        <v>586</v>
      </c>
      <c r="K25" s="349" t="s">
        <v>583</v>
      </c>
      <c r="L25" s="352" t="s">
        <v>584</v>
      </c>
      <c r="M25" s="349" t="s">
        <v>585</v>
      </c>
      <c r="N25" s="352" t="s">
        <v>586</v>
      </c>
      <c r="O25" s="349"/>
      <c r="P25" s="352"/>
      <c r="Q25" s="349"/>
      <c r="R25" s="352"/>
      <c r="S25" s="111"/>
    </row>
    <row r="26" spans="1:19">
      <c r="A26" s="320"/>
      <c r="B26" s="345">
        <v>20</v>
      </c>
      <c r="C26" s="346" t="s">
        <v>606</v>
      </c>
      <c r="D26" s="347">
        <v>1.9214662265359399</v>
      </c>
      <c r="E26" s="348">
        <v>0.370435897435897</v>
      </c>
      <c r="F26" s="349">
        <v>0.33840546434236402</v>
      </c>
      <c r="G26" s="350">
        <v>2.1033350256410199</v>
      </c>
      <c r="H26" s="351"/>
      <c r="I26" s="349" t="s">
        <v>592</v>
      </c>
      <c r="J26" s="352" t="s">
        <v>593</v>
      </c>
      <c r="K26" s="349" t="s">
        <v>590</v>
      </c>
      <c r="L26" s="352" t="s">
        <v>591</v>
      </c>
      <c r="M26" s="349" t="s">
        <v>603</v>
      </c>
      <c r="N26" s="352" t="s">
        <v>604</v>
      </c>
      <c r="O26" s="349"/>
      <c r="P26" s="352"/>
      <c r="Q26" s="349"/>
      <c r="R26" s="352"/>
      <c r="S26" s="111"/>
    </row>
    <row r="27" spans="1:19">
      <c r="A27" s="320"/>
      <c r="B27" s="345">
        <v>21</v>
      </c>
      <c r="C27" s="346" t="s">
        <v>607</v>
      </c>
      <c r="D27" s="347">
        <v>3.1315240083507301</v>
      </c>
      <c r="E27" s="348">
        <v>0.169333333333333</v>
      </c>
      <c r="F27" s="349">
        <v>0.551518846134331</v>
      </c>
      <c r="G27" s="350">
        <v>0.96147466666666503</v>
      </c>
      <c r="H27" s="351"/>
      <c r="I27" s="349" t="s">
        <v>597</v>
      </c>
      <c r="J27" s="352" t="s">
        <v>598</v>
      </c>
      <c r="K27" s="349"/>
      <c r="L27" s="352"/>
      <c r="M27" s="349"/>
      <c r="N27" s="352"/>
      <c r="O27" s="349"/>
      <c r="P27" s="352"/>
      <c r="Q27" s="349"/>
      <c r="R27" s="352"/>
      <c r="S27" s="111"/>
    </row>
    <row r="28" spans="1:19">
      <c r="A28" s="320"/>
      <c r="B28" s="345">
        <v>22</v>
      </c>
      <c r="C28" s="346" t="s">
        <v>608</v>
      </c>
      <c r="D28" s="347">
        <v>0.45862181765462101</v>
      </c>
      <c r="E28" s="348">
        <v>2.03044576490925</v>
      </c>
      <c r="F28" s="349">
        <v>8.0771718502046702E-2</v>
      </c>
      <c r="G28" s="350">
        <v>11.528871053154701</v>
      </c>
      <c r="H28" s="351"/>
      <c r="I28" s="349" t="s">
        <v>600</v>
      </c>
      <c r="J28" s="352" t="s">
        <v>601</v>
      </c>
      <c r="K28" s="349" t="s">
        <v>609</v>
      </c>
      <c r="L28" s="352" t="s">
        <v>610</v>
      </c>
      <c r="M28" s="349" t="s">
        <v>581</v>
      </c>
      <c r="N28" s="352" t="s">
        <v>582</v>
      </c>
      <c r="O28" s="349" t="s">
        <v>583</v>
      </c>
      <c r="P28" s="352" t="s">
        <v>584</v>
      </c>
      <c r="Q28" s="349" t="s">
        <v>585</v>
      </c>
      <c r="R28" s="352" t="s">
        <v>586</v>
      </c>
      <c r="S28" s="111"/>
    </row>
    <row r="29" spans="1:19">
      <c r="A29" s="320"/>
      <c r="B29" s="345">
        <v>23</v>
      </c>
      <c r="C29" s="346" t="s">
        <v>611</v>
      </c>
      <c r="D29" s="347">
        <v>1.7466075507187999</v>
      </c>
      <c r="E29" s="348">
        <v>0.42253846153846197</v>
      </c>
      <c r="F29" s="349">
        <v>0.30760964260633999</v>
      </c>
      <c r="G29" s="350">
        <v>2.39917338461539</v>
      </c>
      <c r="H29" s="351"/>
      <c r="I29" s="349" t="s">
        <v>609</v>
      </c>
      <c r="J29" s="352" t="s">
        <v>610</v>
      </c>
      <c r="K29" s="349" t="s">
        <v>590</v>
      </c>
      <c r="L29" s="352" t="s">
        <v>591</v>
      </c>
      <c r="M29" s="349" t="s">
        <v>592</v>
      </c>
      <c r="N29" s="352" t="s">
        <v>593</v>
      </c>
      <c r="O29" s="349"/>
      <c r="P29" s="352"/>
      <c r="Q29" s="349"/>
      <c r="R29" s="352"/>
      <c r="S29" s="111"/>
    </row>
    <row r="30" spans="1:19">
      <c r="A30" s="320"/>
      <c r="B30" s="345">
        <v>24</v>
      </c>
      <c r="C30" s="346" t="s">
        <v>612</v>
      </c>
      <c r="D30" s="347">
        <v>1.75265464019263</v>
      </c>
      <c r="E30" s="348">
        <v>0.42056306306306301</v>
      </c>
      <c r="F30" s="349">
        <v>0.308674646036039</v>
      </c>
      <c r="G30" s="350">
        <v>2.3879570720720702</v>
      </c>
      <c r="H30" s="351"/>
      <c r="I30" s="349" t="s">
        <v>585</v>
      </c>
      <c r="J30" s="352" t="s">
        <v>586</v>
      </c>
      <c r="K30" s="349" t="s">
        <v>613</v>
      </c>
      <c r="L30" s="352" t="s">
        <v>614</v>
      </c>
      <c r="M30" s="349" t="s">
        <v>585</v>
      </c>
      <c r="N30" s="352" t="s">
        <v>586</v>
      </c>
      <c r="O30" s="349"/>
      <c r="P30" s="352"/>
      <c r="Q30" s="349"/>
      <c r="R30" s="352"/>
      <c r="S30" s="111"/>
    </row>
    <row r="31" spans="1:19">
      <c r="A31" s="320"/>
      <c r="B31" s="345">
        <v>25</v>
      </c>
      <c r="C31" s="346" t="s">
        <v>615</v>
      </c>
      <c r="D31" s="347">
        <v>1.7466075507187999</v>
      </c>
      <c r="E31" s="348">
        <v>0.42253846153846197</v>
      </c>
      <c r="F31" s="349">
        <v>0.30760964260633999</v>
      </c>
      <c r="G31" s="350">
        <v>2.39917338461539</v>
      </c>
      <c r="H31" s="351"/>
      <c r="I31" s="349" t="s">
        <v>592</v>
      </c>
      <c r="J31" s="352" t="s">
        <v>593</v>
      </c>
      <c r="K31" s="349" t="s">
        <v>590</v>
      </c>
      <c r="L31" s="352" t="s">
        <v>591</v>
      </c>
      <c r="M31" s="349" t="s">
        <v>609</v>
      </c>
      <c r="N31" s="352" t="s">
        <v>610</v>
      </c>
      <c r="O31" s="349"/>
      <c r="P31" s="352"/>
      <c r="Q31" s="349"/>
      <c r="R31" s="352"/>
      <c r="S31" s="111"/>
    </row>
    <row r="32" spans="1:19">
      <c r="A32" s="320"/>
      <c r="B32" s="345">
        <v>26</v>
      </c>
      <c r="C32" s="346" t="s">
        <v>616</v>
      </c>
      <c r="D32" s="347">
        <v>3.1315240083507301</v>
      </c>
      <c r="E32" s="348">
        <v>0.169333333333333</v>
      </c>
      <c r="F32" s="349">
        <v>0.551518846134331</v>
      </c>
      <c r="G32" s="350">
        <v>0.96147466666666503</v>
      </c>
      <c r="H32" s="351"/>
      <c r="I32" s="349" t="s">
        <v>597</v>
      </c>
      <c r="J32" s="352" t="s">
        <v>598</v>
      </c>
      <c r="K32" s="349"/>
      <c r="L32" s="352"/>
      <c r="M32" s="349"/>
      <c r="N32" s="352"/>
      <c r="O32" s="349"/>
      <c r="P32" s="352"/>
      <c r="Q32" s="349"/>
      <c r="R32" s="352"/>
      <c r="S32" s="111"/>
    </row>
    <row r="33" spans="1:19">
      <c r="A33" s="320"/>
      <c r="B33" s="345"/>
      <c r="C33" s="346"/>
      <c r="D33" s="347"/>
      <c r="E33" s="348"/>
      <c r="F33" s="349"/>
      <c r="G33" s="350"/>
      <c r="H33" s="351"/>
      <c r="I33" s="349"/>
      <c r="J33" s="346"/>
      <c r="K33" s="349"/>
      <c r="L33" s="346"/>
      <c r="M33" s="349"/>
      <c r="N33" s="346"/>
      <c r="O33" s="349"/>
      <c r="P33" s="346"/>
      <c r="Q33" s="349"/>
      <c r="R33" s="346"/>
      <c r="S33" s="111"/>
    </row>
    <row r="34" spans="1:19">
      <c r="A34" s="320"/>
      <c r="B34" s="345"/>
      <c r="C34" s="346"/>
      <c r="D34" s="347"/>
      <c r="E34" s="348"/>
      <c r="F34" s="349"/>
      <c r="G34" s="350"/>
      <c r="H34" s="351"/>
      <c r="I34" s="349"/>
      <c r="J34" s="346"/>
      <c r="K34" s="349"/>
      <c r="L34" s="346"/>
      <c r="M34" s="349"/>
      <c r="N34" s="346"/>
      <c r="O34" s="349"/>
      <c r="P34" s="346"/>
      <c r="Q34" s="349"/>
      <c r="R34" s="346"/>
      <c r="S34" s="111"/>
    </row>
    <row r="35" spans="1:19">
      <c r="A35" s="320"/>
      <c r="B35" s="345"/>
      <c r="C35" s="346"/>
      <c r="D35" s="347"/>
      <c r="E35" s="348"/>
      <c r="F35" s="349"/>
      <c r="G35" s="350"/>
      <c r="H35" s="351"/>
      <c r="I35" s="349"/>
      <c r="J35" s="346"/>
      <c r="K35" s="349"/>
      <c r="L35" s="346"/>
      <c r="M35" s="349"/>
      <c r="N35" s="346"/>
      <c r="O35" s="349"/>
      <c r="P35" s="346"/>
      <c r="Q35" s="349"/>
      <c r="R35" s="346"/>
      <c r="S35" s="111"/>
    </row>
    <row r="36" spans="1:19">
      <c r="A36" s="320"/>
      <c r="B36" s="345"/>
      <c r="C36" s="346"/>
      <c r="D36" s="347"/>
      <c r="E36" s="348"/>
      <c r="F36" s="349"/>
      <c r="G36" s="350"/>
      <c r="H36" s="351"/>
      <c r="I36" s="349"/>
      <c r="J36" s="346"/>
      <c r="K36" s="349"/>
      <c r="L36" s="346"/>
      <c r="M36" s="349"/>
      <c r="N36" s="346"/>
      <c r="O36" s="349"/>
      <c r="P36" s="346"/>
      <c r="Q36" s="349"/>
      <c r="R36" s="346"/>
      <c r="S36" s="111"/>
    </row>
    <row r="37" spans="1:19">
      <c r="A37" s="320"/>
      <c r="B37" s="345"/>
      <c r="C37" s="346"/>
      <c r="D37" s="347"/>
      <c r="E37" s="348"/>
      <c r="F37" s="349"/>
      <c r="G37" s="350"/>
      <c r="H37" s="351"/>
      <c r="I37" s="349"/>
      <c r="J37" s="346"/>
      <c r="K37" s="349"/>
      <c r="L37" s="346"/>
      <c r="M37" s="349"/>
      <c r="N37" s="346"/>
      <c r="O37" s="349"/>
      <c r="P37" s="346"/>
      <c r="Q37" s="349"/>
      <c r="R37" s="346"/>
      <c r="S37" s="111"/>
    </row>
    <row r="38" spans="1:19">
      <c r="A38" s="320"/>
      <c r="B38" s="345"/>
      <c r="C38" s="346"/>
      <c r="D38" s="347"/>
      <c r="E38" s="348"/>
      <c r="F38" s="349"/>
      <c r="G38" s="350"/>
      <c r="H38" s="351"/>
      <c r="I38" s="349"/>
      <c r="J38" s="346"/>
      <c r="K38" s="349"/>
      <c r="L38" s="346"/>
      <c r="M38" s="349"/>
      <c r="N38" s="346"/>
      <c r="O38" s="349"/>
      <c r="P38" s="346"/>
      <c r="Q38" s="349"/>
      <c r="R38" s="346"/>
      <c r="S38" s="111"/>
    </row>
    <row r="39" spans="1:19">
      <c r="A39" s="320"/>
      <c r="B39" s="345"/>
      <c r="C39" s="346"/>
      <c r="D39" s="347"/>
      <c r="E39" s="348"/>
      <c r="F39" s="349"/>
      <c r="G39" s="350"/>
      <c r="H39" s="351"/>
      <c r="I39" s="349"/>
      <c r="J39" s="346"/>
      <c r="K39" s="349"/>
      <c r="L39" s="346"/>
      <c r="M39" s="349"/>
      <c r="N39" s="346"/>
      <c r="O39" s="349"/>
      <c r="P39" s="346"/>
      <c r="Q39" s="349"/>
      <c r="R39" s="346"/>
      <c r="S39" s="111"/>
    </row>
    <row r="40" spans="1:19">
      <c r="A40" s="320"/>
      <c r="B40" s="345"/>
      <c r="C40" s="346"/>
      <c r="D40" s="347"/>
      <c r="E40" s="348"/>
      <c r="F40" s="349"/>
      <c r="G40" s="350"/>
      <c r="H40" s="351"/>
      <c r="I40" s="349"/>
      <c r="J40" s="346"/>
      <c r="K40" s="349"/>
      <c r="L40" s="346"/>
      <c r="M40" s="349"/>
      <c r="N40" s="346"/>
      <c r="O40" s="349"/>
      <c r="P40" s="346"/>
      <c r="Q40" s="349"/>
      <c r="R40" s="346"/>
      <c r="S40" s="111"/>
    </row>
    <row r="41" spans="1:19">
      <c r="A41" s="320"/>
      <c r="B41" s="345"/>
      <c r="C41" s="346"/>
      <c r="D41" s="347"/>
      <c r="E41" s="348"/>
      <c r="F41" s="349"/>
      <c r="G41" s="350"/>
      <c r="H41" s="351"/>
      <c r="I41" s="349"/>
      <c r="J41" s="346"/>
      <c r="K41" s="349"/>
      <c r="L41" s="346"/>
      <c r="M41" s="349"/>
      <c r="N41" s="346"/>
      <c r="O41" s="349"/>
      <c r="P41" s="346"/>
      <c r="Q41" s="349"/>
      <c r="R41" s="346"/>
      <c r="S41" s="111"/>
    </row>
    <row r="42" spans="1:19">
      <c r="A42" s="320"/>
      <c r="B42" s="345"/>
      <c r="C42" s="346"/>
      <c r="D42" s="347"/>
      <c r="E42" s="348"/>
      <c r="F42" s="349"/>
      <c r="G42" s="350"/>
      <c r="H42" s="351"/>
      <c r="I42" s="349"/>
      <c r="J42" s="346"/>
      <c r="K42" s="349"/>
      <c r="L42" s="346"/>
      <c r="M42" s="349"/>
      <c r="N42" s="346"/>
      <c r="O42" s="349"/>
      <c r="P42" s="346"/>
      <c r="Q42" s="349"/>
      <c r="R42" s="346"/>
      <c r="S42" s="111"/>
    </row>
    <row r="43" spans="1:19">
      <c r="A43" s="320"/>
      <c r="B43" s="345"/>
      <c r="C43" s="346"/>
      <c r="D43" s="347"/>
      <c r="E43" s="348"/>
      <c r="F43" s="349"/>
      <c r="G43" s="350"/>
      <c r="H43" s="351"/>
      <c r="I43" s="349"/>
      <c r="J43" s="346"/>
      <c r="K43" s="349"/>
      <c r="L43" s="346"/>
      <c r="M43" s="349"/>
      <c r="N43" s="346"/>
      <c r="O43" s="349"/>
      <c r="P43" s="346"/>
      <c r="Q43" s="349"/>
      <c r="R43" s="346"/>
      <c r="S43" s="111"/>
    </row>
    <row r="44" spans="1:19">
      <c r="A44" s="320"/>
      <c r="B44" s="345"/>
      <c r="C44" s="346"/>
      <c r="D44" s="347"/>
      <c r="E44" s="348"/>
      <c r="F44" s="349"/>
      <c r="G44" s="350"/>
      <c r="H44" s="351"/>
      <c r="I44" s="349"/>
      <c r="J44" s="346"/>
      <c r="K44" s="349"/>
      <c r="L44" s="346"/>
      <c r="M44" s="349"/>
      <c r="N44" s="346"/>
      <c r="O44" s="349"/>
      <c r="P44" s="346"/>
      <c r="Q44" s="349"/>
      <c r="R44" s="346"/>
      <c r="S44" s="111"/>
    </row>
    <row r="45" spans="1:19">
      <c r="A45" s="320"/>
      <c r="B45" s="345"/>
      <c r="C45" s="346"/>
      <c r="D45" s="347"/>
      <c r="E45" s="348"/>
      <c r="F45" s="349"/>
      <c r="G45" s="350"/>
      <c r="H45" s="351"/>
      <c r="I45" s="349"/>
      <c r="J45" s="346"/>
      <c r="K45" s="349"/>
      <c r="L45" s="346"/>
      <c r="M45" s="349"/>
      <c r="N45" s="346"/>
      <c r="O45" s="349"/>
      <c r="P45" s="346"/>
      <c r="Q45" s="349"/>
      <c r="R45" s="346"/>
      <c r="S45" s="111"/>
    </row>
    <row r="46" spans="1:19">
      <c r="A46" s="320"/>
      <c r="B46" s="345"/>
      <c r="C46" s="346"/>
      <c r="D46" s="347"/>
      <c r="E46" s="348"/>
      <c r="F46" s="349"/>
      <c r="G46" s="350"/>
      <c r="H46" s="351"/>
      <c r="I46" s="349"/>
      <c r="J46" s="346"/>
      <c r="K46" s="349"/>
      <c r="L46" s="346"/>
      <c r="M46" s="349"/>
      <c r="N46" s="346"/>
      <c r="O46" s="349"/>
      <c r="P46" s="346"/>
      <c r="Q46" s="349"/>
      <c r="R46" s="346"/>
      <c r="S46" s="111"/>
    </row>
    <row r="47" spans="1:19">
      <c r="A47" s="320"/>
      <c r="B47" s="345"/>
      <c r="C47" s="346"/>
      <c r="D47" s="347"/>
      <c r="E47" s="348"/>
      <c r="F47" s="349"/>
      <c r="G47" s="350"/>
      <c r="H47" s="351"/>
      <c r="I47" s="349"/>
      <c r="J47" s="346"/>
      <c r="K47" s="349"/>
      <c r="L47" s="346"/>
      <c r="M47" s="349"/>
      <c r="N47" s="346"/>
      <c r="O47" s="349"/>
      <c r="P47" s="346"/>
      <c r="Q47" s="349"/>
      <c r="R47" s="346"/>
      <c r="S47" s="111"/>
    </row>
    <row r="48" spans="1:19">
      <c r="A48" s="320"/>
      <c r="B48" s="345"/>
      <c r="C48" s="346"/>
      <c r="D48" s="347"/>
      <c r="E48" s="348"/>
      <c r="F48" s="349"/>
      <c r="G48" s="350"/>
      <c r="H48" s="351"/>
      <c r="I48" s="349"/>
      <c r="J48" s="346"/>
      <c r="K48" s="349"/>
      <c r="L48" s="346"/>
      <c r="M48" s="349"/>
      <c r="N48" s="346"/>
      <c r="O48" s="349"/>
      <c r="P48" s="346"/>
      <c r="Q48" s="349"/>
      <c r="R48" s="346"/>
      <c r="S48" s="111"/>
    </row>
    <row r="49" spans="1:19">
      <c r="A49" s="320"/>
      <c r="B49" s="345"/>
      <c r="C49" s="346"/>
      <c r="D49" s="347"/>
      <c r="E49" s="348"/>
      <c r="F49" s="349"/>
      <c r="G49" s="350"/>
      <c r="H49" s="351"/>
      <c r="I49" s="349"/>
      <c r="J49" s="346"/>
      <c r="K49" s="349"/>
      <c r="L49" s="346"/>
      <c r="M49" s="349"/>
      <c r="N49" s="346"/>
      <c r="O49" s="349"/>
      <c r="P49" s="346"/>
      <c r="Q49" s="349"/>
      <c r="R49" s="346"/>
      <c r="S49" s="111"/>
    </row>
    <row r="50" spans="1:19">
      <c r="A50" s="320"/>
      <c r="B50" s="345"/>
      <c r="C50" s="346"/>
      <c r="D50" s="347"/>
      <c r="E50" s="348"/>
      <c r="F50" s="349"/>
      <c r="G50" s="350"/>
      <c r="H50" s="351"/>
      <c r="I50" s="349"/>
      <c r="J50" s="346"/>
      <c r="K50" s="349"/>
      <c r="L50" s="346"/>
      <c r="M50" s="349"/>
      <c r="N50" s="346"/>
      <c r="O50" s="349"/>
      <c r="P50" s="346"/>
      <c r="Q50" s="349"/>
      <c r="R50" s="346"/>
      <c r="S50" s="111"/>
    </row>
    <row r="51" spans="1:19">
      <c r="A51" s="320"/>
      <c r="B51" s="345"/>
      <c r="C51" s="346"/>
      <c r="D51" s="347"/>
      <c r="E51" s="348"/>
      <c r="F51" s="349"/>
      <c r="G51" s="350"/>
      <c r="H51" s="351"/>
      <c r="I51" s="349"/>
      <c r="J51" s="346"/>
      <c r="K51" s="349"/>
      <c r="L51" s="346"/>
      <c r="M51" s="349"/>
      <c r="N51" s="346"/>
      <c r="O51" s="349"/>
      <c r="P51" s="346"/>
      <c r="Q51" s="349"/>
      <c r="R51" s="346"/>
      <c r="S51" s="111"/>
    </row>
    <row r="52" spans="1:19">
      <c r="A52" s="320"/>
      <c r="B52" s="345"/>
      <c r="C52" s="346"/>
      <c r="D52" s="347"/>
      <c r="E52" s="348"/>
      <c r="F52" s="349"/>
      <c r="G52" s="350"/>
      <c r="H52" s="351"/>
      <c r="I52" s="349"/>
      <c r="J52" s="346"/>
      <c r="K52" s="349"/>
      <c r="L52" s="346"/>
      <c r="M52" s="349"/>
      <c r="N52" s="346"/>
      <c r="O52" s="349"/>
      <c r="P52" s="346"/>
      <c r="Q52" s="349"/>
      <c r="R52" s="346"/>
      <c r="S52" s="111"/>
    </row>
    <row r="53" spans="1:19">
      <c r="A53" s="320"/>
      <c r="B53" s="345"/>
      <c r="C53" s="346"/>
      <c r="D53" s="347"/>
      <c r="E53" s="348"/>
      <c r="F53" s="349"/>
      <c r="G53" s="350"/>
      <c r="H53" s="351"/>
      <c r="I53" s="349"/>
      <c r="J53" s="346"/>
      <c r="K53" s="349"/>
      <c r="L53" s="346"/>
      <c r="M53" s="349"/>
      <c r="N53" s="346"/>
      <c r="O53" s="349"/>
      <c r="P53" s="346"/>
      <c r="Q53" s="349"/>
      <c r="R53" s="346"/>
      <c r="S53" s="111"/>
    </row>
    <row r="54" spans="1:19">
      <c r="A54" s="320"/>
      <c r="B54" s="345"/>
      <c r="C54" s="346"/>
      <c r="D54" s="347"/>
      <c r="E54" s="348"/>
      <c r="F54" s="349"/>
      <c r="G54" s="350"/>
      <c r="H54" s="351"/>
      <c r="I54" s="349"/>
      <c r="J54" s="346"/>
      <c r="K54" s="349"/>
      <c r="L54" s="346"/>
      <c r="M54" s="349"/>
      <c r="N54" s="346"/>
      <c r="O54" s="349"/>
      <c r="P54" s="346"/>
      <c r="Q54" s="349"/>
      <c r="R54" s="346"/>
      <c r="S54" s="111"/>
    </row>
    <row r="55" spans="1:19">
      <c r="A55" s="320"/>
      <c r="B55" s="345"/>
      <c r="C55" s="346"/>
      <c r="D55" s="347"/>
      <c r="E55" s="348"/>
      <c r="F55" s="349"/>
      <c r="G55" s="350"/>
      <c r="H55" s="351"/>
      <c r="I55" s="349"/>
      <c r="J55" s="346"/>
      <c r="K55" s="349"/>
      <c r="L55" s="346"/>
      <c r="M55" s="349"/>
      <c r="N55" s="346"/>
      <c r="O55" s="349"/>
      <c r="P55" s="346"/>
      <c r="Q55" s="349"/>
      <c r="R55" s="346"/>
      <c r="S55" s="111"/>
    </row>
    <row r="56" spans="1:19">
      <c r="A56" s="320"/>
      <c r="B56" s="345"/>
      <c r="C56" s="346"/>
      <c r="D56" s="347"/>
      <c r="E56" s="348"/>
      <c r="F56" s="349"/>
      <c r="G56" s="350"/>
      <c r="H56" s="351"/>
      <c r="I56" s="349"/>
      <c r="J56" s="346"/>
      <c r="K56" s="349"/>
      <c r="L56" s="346"/>
      <c r="M56" s="349"/>
      <c r="N56" s="346"/>
      <c r="O56" s="349"/>
      <c r="P56" s="346"/>
      <c r="Q56" s="349"/>
      <c r="R56" s="346"/>
      <c r="S56" s="111"/>
    </row>
    <row r="57" spans="1:19">
      <c r="A57" s="320"/>
      <c r="B57" s="345"/>
      <c r="C57" s="346"/>
      <c r="D57" s="347"/>
      <c r="E57" s="348"/>
      <c r="F57" s="349"/>
      <c r="G57" s="350"/>
      <c r="H57" s="351"/>
      <c r="I57" s="349"/>
      <c r="J57" s="346"/>
      <c r="K57" s="349"/>
      <c r="L57" s="346"/>
      <c r="M57" s="349"/>
      <c r="N57" s="346"/>
      <c r="O57" s="349"/>
      <c r="P57" s="346"/>
      <c r="Q57" s="349"/>
      <c r="R57" s="346"/>
      <c r="S57" s="111"/>
    </row>
    <row r="58" spans="1:19">
      <c r="A58" s="320"/>
      <c r="B58" s="345"/>
      <c r="C58" s="346"/>
      <c r="D58" s="347"/>
      <c r="E58" s="348"/>
      <c r="F58" s="349"/>
      <c r="G58" s="350"/>
      <c r="H58" s="351"/>
      <c r="I58" s="349"/>
      <c r="J58" s="346"/>
      <c r="K58" s="349"/>
      <c r="L58" s="346"/>
      <c r="M58" s="349"/>
      <c r="N58" s="346"/>
      <c r="O58" s="349"/>
      <c r="P58" s="346"/>
      <c r="Q58" s="349"/>
      <c r="R58" s="346"/>
      <c r="S58" s="111"/>
    </row>
    <row r="59" spans="1:19">
      <c r="A59" s="320"/>
      <c r="B59" s="345"/>
      <c r="C59" s="346"/>
      <c r="D59" s="347"/>
      <c r="E59" s="348"/>
      <c r="F59" s="349"/>
      <c r="G59" s="350"/>
      <c r="H59" s="351"/>
      <c r="I59" s="349"/>
      <c r="J59" s="346"/>
      <c r="K59" s="349"/>
      <c r="L59" s="346"/>
      <c r="M59" s="349"/>
      <c r="N59" s="346"/>
      <c r="O59" s="349"/>
      <c r="P59" s="346"/>
      <c r="Q59" s="349"/>
      <c r="R59" s="346"/>
      <c r="S59" s="111"/>
    </row>
    <row r="60" spans="1:19">
      <c r="A60" s="320"/>
      <c r="B60" s="345"/>
      <c r="C60" s="346"/>
      <c r="D60" s="347"/>
      <c r="E60" s="348"/>
      <c r="F60" s="349"/>
      <c r="G60" s="350"/>
      <c r="H60" s="351"/>
      <c r="I60" s="349"/>
      <c r="J60" s="346"/>
      <c r="K60" s="349"/>
      <c r="L60" s="346"/>
      <c r="M60" s="349"/>
      <c r="N60" s="346"/>
      <c r="O60" s="349"/>
      <c r="P60" s="346"/>
      <c r="Q60" s="349"/>
      <c r="R60" s="346"/>
      <c r="S60" s="111"/>
    </row>
    <row r="61" spans="1:19">
      <c r="A61" s="320"/>
      <c r="B61" s="345"/>
      <c r="C61" s="346"/>
      <c r="D61" s="347"/>
      <c r="E61" s="348"/>
      <c r="F61" s="349"/>
      <c r="G61" s="350"/>
      <c r="H61" s="351"/>
      <c r="I61" s="349"/>
      <c r="J61" s="346"/>
      <c r="K61" s="349"/>
      <c r="L61" s="346"/>
      <c r="M61" s="349"/>
      <c r="N61" s="346"/>
      <c r="O61" s="349"/>
      <c r="P61" s="346"/>
      <c r="Q61" s="349"/>
      <c r="R61" s="346"/>
      <c r="S61" s="111"/>
    </row>
    <row r="62" spans="1:19">
      <c r="A62" s="320"/>
      <c r="B62" s="345"/>
      <c r="C62" s="346"/>
      <c r="D62" s="347"/>
      <c r="E62" s="348"/>
      <c r="F62" s="349"/>
      <c r="G62" s="350"/>
      <c r="H62" s="351"/>
      <c r="I62" s="349"/>
      <c r="J62" s="346"/>
      <c r="K62" s="349"/>
      <c r="L62" s="346"/>
      <c r="M62" s="349"/>
      <c r="N62" s="346"/>
      <c r="O62" s="349"/>
      <c r="P62" s="346"/>
      <c r="Q62" s="349"/>
      <c r="R62" s="346"/>
      <c r="S62" s="111"/>
    </row>
    <row r="63" spans="1:19">
      <c r="A63" s="320"/>
      <c r="B63" s="345"/>
      <c r="C63" s="346"/>
      <c r="D63" s="347"/>
      <c r="E63" s="348"/>
      <c r="F63" s="349"/>
      <c r="G63" s="350"/>
      <c r="H63" s="351"/>
      <c r="I63" s="349"/>
      <c r="J63" s="346"/>
      <c r="K63" s="349"/>
      <c r="L63" s="346"/>
      <c r="M63" s="349"/>
      <c r="N63" s="346"/>
      <c r="O63" s="349"/>
      <c r="P63" s="346"/>
      <c r="Q63" s="349"/>
      <c r="R63" s="346"/>
      <c r="S63" s="111"/>
    </row>
    <row r="64" spans="1:19">
      <c r="A64" s="320"/>
      <c r="B64" s="345"/>
      <c r="C64" s="346"/>
      <c r="D64" s="347"/>
      <c r="E64" s="348"/>
      <c r="F64" s="349"/>
      <c r="G64" s="350"/>
      <c r="H64" s="351"/>
      <c r="I64" s="349"/>
      <c r="J64" s="346"/>
      <c r="K64" s="349"/>
      <c r="L64" s="346"/>
      <c r="M64" s="349"/>
      <c r="N64" s="346"/>
      <c r="O64" s="349"/>
      <c r="P64" s="346"/>
      <c r="Q64" s="349"/>
      <c r="R64" s="346"/>
      <c r="S64" s="111"/>
    </row>
    <row r="65" spans="1:19">
      <c r="A65" s="320"/>
      <c r="B65" s="345"/>
      <c r="C65" s="346"/>
      <c r="D65" s="347"/>
      <c r="E65" s="348"/>
      <c r="F65" s="349"/>
      <c r="G65" s="350"/>
      <c r="H65" s="351"/>
      <c r="I65" s="349"/>
      <c r="J65" s="346"/>
      <c r="K65" s="349"/>
      <c r="L65" s="346"/>
      <c r="M65" s="349"/>
      <c r="N65" s="346"/>
      <c r="O65" s="349"/>
      <c r="P65" s="346"/>
      <c r="Q65" s="349"/>
      <c r="R65" s="346"/>
      <c r="S65" s="111"/>
    </row>
    <row r="66" spans="1:19">
      <c r="A66" s="320"/>
      <c r="B66" s="345"/>
      <c r="C66" s="346"/>
      <c r="D66" s="347"/>
      <c r="E66" s="348"/>
      <c r="F66" s="349"/>
      <c r="G66" s="350"/>
      <c r="H66" s="351"/>
      <c r="I66" s="349"/>
      <c r="J66" s="346"/>
      <c r="K66" s="349"/>
      <c r="L66" s="346"/>
      <c r="M66" s="349"/>
      <c r="N66" s="346"/>
      <c r="O66" s="349"/>
      <c r="P66" s="346"/>
      <c r="Q66" s="349"/>
      <c r="R66" s="346"/>
      <c r="S66" s="111"/>
    </row>
    <row r="67" spans="1:19">
      <c r="A67" s="320"/>
      <c r="B67" s="345"/>
      <c r="C67" s="346"/>
      <c r="D67" s="347"/>
      <c r="E67" s="348"/>
      <c r="F67" s="349"/>
      <c r="G67" s="350"/>
      <c r="H67" s="351"/>
      <c r="I67" s="349"/>
      <c r="J67" s="346"/>
      <c r="K67" s="349"/>
      <c r="L67" s="346"/>
      <c r="M67" s="349"/>
      <c r="N67" s="346"/>
      <c r="O67" s="349"/>
      <c r="P67" s="346"/>
      <c r="Q67" s="349"/>
      <c r="R67" s="346"/>
      <c r="S67" s="111"/>
    </row>
    <row r="68" spans="1:19">
      <c r="A68" s="320"/>
      <c r="B68" s="345"/>
      <c r="C68" s="346"/>
      <c r="D68" s="347"/>
      <c r="E68" s="348"/>
      <c r="F68" s="349"/>
      <c r="G68" s="350"/>
      <c r="H68" s="351"/>
      <c r="I68" s="349"/>
      <c r="J68" s="346"/>
      <c r="K68" s="349"/>
      <c r="L68" s="346"/>
      <c r="M68" s="349"/>
      <c r="N68" s="346"/>
      <c r="O68" s="349"/>
      <c r="P68" s="346"/>
      <c r="Q68" s="349"/>
      <c r="R68" s="346"/>
      <c r="S68" s="111"/>
    </row>
    <row r="69" spans="1:19">
      <c r="A69" s="320"/>
      <c r="B69" s="345"/>
      <c r="C69" s="346"/>
      <c r="D69" s="347"/>
      <c r="E69" s="348"/>
      <c r="F69" s="349"/>
      <c r="G69" s="350"/>
      <c r="H69" s="351"/>
      <c r="I69" s="349"/>
      <c r="J69" s="346"/>
      <c r="K69" s="349"/>
      <c r="L69" s="346"/>
      <c r="M69" s="349"/>
      <c r="N69" s="346"/>
      <c r="O69" s="349"/>
      <c r="P69" s="346"/>
      <c r="Q69" s="349"/>
      <c r="R69" s="346"/>
      <c r="S69" s="111"/>
    </row>
    <row r="70" spans="1:19">
      <c r="A70" s="320"/>
      <c r="B70" s="345"/>
      <c r="C70" s="346"/>
      <c r="D70" s="347"/>
      <c r="E70" s="348"/>
      <c r="F70" s="349"/>
      <c r="G70" s="350"/>
      <c r="H70" s="351"/>
      <c r="I70" s="349"/>
      <c r="J70" s="346"/>
      <c r="K70" s="349"/>
      <c r="L70" s="346"/>
      <c r="M70" s="349"/>
      <c r="N70" s="346"/>
      <c r="O70" s="349"/>
      <c r="P70" s="346"/>
      <c r="Q70" s="349"/>
      <c r="R70" s="346"/>
      <c r="S70" s="111"/>
    </row>
    <row r="71" spans="1:19">
      <c r="A71" s="320"/>
      <c r="B71" s="345"/>
      <c r="C71" s="346"/>
      <c r="D71" s="347"/>
      <c r="E71" s="348"/>
      <c r="F71" s="349"/>
      <c r="G71" s="350"/>
      <c r="H71" s="351"/>
      <c r="I71" s="349"/>
      <c r="J71" s="346"/>
      <c r="K71" s="349"/>
      <c r="L71" s="346"/>
      <c r="M71" s="349"/>
      <c r="N71" s="346"/>
      <c r="O71" s="349"/>
      <c r="P71" s="346"/>
      <c r="Q71" s="349"/>
      <c r="R71" s="346"/>
      <c r="S71" s="111"/>
    </row>
    <row r="72" spans="1:19">
      <c r="A72" s="320"/>
      <c r="B72" s="345"/>
      <c r="C72" s="346"/>
      <c r="D72" s="347"/>
      <c r="E72" s="348"/>
      <c r="F72" s="349"/>
      <c r="G72" s="350"/>
      <c r="H72" s="351"/>
      <c r="I72" s="349"/>
      <c r="J72" s="346"/>
      <c r="K72" s="349"/>
      <c r="L72" s="346"/>
      <c r="M72" s="349"/>
      <c r="N72" s="346"/>
      <c r="O72" s="349"/>
      <c r="P72" s="346"/>
      <c r="Q72" s="349"/>
      <c r="R72" s="346"/>
      <c r="S72" s="111"/>
    </row>
    <row r="73" spans="1:19">
      <c r="A73" s="320"/>
      <c r="B73" s="345"/>
      <c r="C73" s="346"/>
      <c r="D73" s="347"/>
      <c r="E73" s="348"/>
      <c r="F73" s="349"/>
      <c r="G73" s="350"/>
      <c r="H73" s="351"/>
      <c r="I73" s="349"/>
      <c r="J73" s="346"/>
      <c r="K73" s="349"/>
      <c r="L73" s="346"/>
      <c r="M73" s="349"/>
      <c r="N73" s="346"/>
      <c r="O73" s="349"/>
      <c r="P73" s="346"/>
      <c r="Q73" s="349"/>
      <c r="R73" s="346"/>
      <c r="S73" s="111"/>
    </row>
    <row r="74" spans="1:19">
      <c r="A74" s="320"/>
      <c r="B74" s="345"/>
      <c r="C74" s="346"/>
      <c r="D74" s="347"/>
      <c r="E74" s="348"/>
      <c r="F74" s="349"/>
      <c r="G74" s="350"/>
      <c r="H74" s="351"/>
      <c r="I74" s="349"/>
      <c r="J74" s="346"/>
      <c r="K74" s="349"/>
      <c r="L74" s="346"/>
      <c r="M74" s="349"/>
      <c r="N74" s="346"/>
      <c r="O74" s="349"/>
      <c r="P74" s="346"/>
      <c r="Q74" s="349"/>
      <c r="R74" s="346"/>
      <c r="S74" s="111"/>
    </row>
    <row r="75" spans="1:19">
      <c r="A75" s="320"/>
      <c r="B75" s="345"/>
      <c r="C75" s="346"/>
      <c r="D75" s="347"/>
      <c r="E75" s="348"/>
      <c r="F75" s="349"/>
      <c r="G75" s="350"/>
      <c r="H75" s="351"/>
      <c r="I75" s="349"/>
      <c r="J75" s="346"/>
      <c r="K75" s="349"/>
      <c r="L75" s="346"/>
      <c r="M75" s="349"/>
      <c r="N75" s="346"/>
      <c r="O75" s="349"/>
      <c r="P75" s="346"/>
      <c r="Q75" s="349"/>
      <c r="R75" s="346"/>
      <c r="S75" s="111"/>
    </row>
    <row r="76" spans="1:19">
      <c r="A76" s="320"/>
      <c r="B76" s="345"/>
      <c r="C76" s="346"/>
      <c r="D76" s="353"/>
      <c r="E76" s="354"/>
      <c r="F76" s="355"/>
      <c r="G76" s="356"/>
      <c r="H76" s="357"/>
      <c r="I76" s="355"/>
      <c r="J76" s="358"/>
      <c r="K76" s="355"/>
      <c r="L76" s="358"/>
      <c r="M76" s="355"/>
      <c r="N76" s="358"/>
      <c r="O76" s="355"/>
      <c r="P76" s="358"/>
      <c r="Q76" s="355"/>
      <c r="R76" s="358"/>
      <c r="S76" s="111"/>
    </row>
    <row r="77" spans="1:19">
      <c r="A77" s="78"/>
      <c r="B77" s="359"/>
      <c r="C77" s="359"/>
      <c r="D77" s="359"/>
      <c r="E77" s="359"/>
      <c r="F77" s="359"/>
      <c r="G77" s="359"/>
      <c r="H77" s="359"/>
      <c r="I77" s="359"/>
      <c r="J77" s="360"/>
      <c r="K77" s="360"/>
      <c r="L77" s="360"/>
      <c r="M77" s="360"/>
      <c r="N77" s="360"/>
      <c r="O77" s="360"/>
      <c r="P77" s="360"/>
      <c r="Q77" s="360"/>
      <c r="R77" s="360"/>
      <c r="S77" s="111"/>
    </row>
  </sheetData>
  <mergeCells count="8">
    <mergeCell ref="M4:N4"/>
    <mergeCell ref="O4:P4"/>
    <mergeCell ref="Q4:R4"/>
    <mergeCell ref="B2:C2"/>
    <mergeCell ref="D2:G2"/>
    <mergeCell ref="D3:G3"/>
    <mergeCell ref="I4:J4"/>
    <mergeCell ref="K4:L4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9"/>
  <sheetViews>
    <sheetView zoomScaleNormal="100" zoomScalePageLayoutView="60" workbookViewId="0"/>
  </sheetViews>
  <sheetFormatPr defaultRowHeight="14.25"/>
  <cols>
    <col min="1" max="1" width="2.25" style="1"/>
    <col min="2" max="2" width="9.5" style="1"/>
    <col min="3" max="3" width="43" style="1"/>
    <col min="4" max="4" width="12" style="1"/>
    <col min="5" max="5" width="9.75" style="1"/>
    <col min="6" max="6" width="0" style="1" hidden="1"/>
    <col min="7" max="7" width="9.75" style="1"/>
    <col min="8" max="8" width="8.25" style="1"/>
    <col min="9" max="9" width="9.5" style="1"/>
    <col min="10" max="10" width="10.25" style="1"/>
    <col min="11" max="11" width="11.125" style="1"/>
    <col min="12" max="12" width="10.75" style="1"/>
    <col min="13" max="13" width="11" style="1"/>
    <col min="14" max="14" width="17.25" style="1"/>
    <col min="15" max="15" width="3.375" style="1"/>
    <col min="16" max="1025" width="12" style="1"/>
  </cols>
  <sheetData>
    <row r="1" spans="1:914" s="316" customFormat="1" ht="17.25" customHeight="1">
      <c r="B1" s="361" t="s">
        <v>97</v>
      </c>
      <c r="C1" s="361" t="s">
        <v>98</v>
      </c>
      <c r="E1" s="316" t="s">
        <v>99</v>
      </c>
      <c r="G1" s="316" t="s">
        <v>100</v>
      </c>
      <c r="H1" s="316" t="s">
        <v>101</v>
      </c>
      <c r="I1" s="316" t="s">
        <v>102</v>
      </c>
      <c r="J1" s="316" t="s">
        <v>103</v>
      </c>
      <c r="K1" s="316" t="s">
        <v>104</v>
      </c>
      <c r="L1" s="316" t="s">
        <v>105</v>
      </c>
      <c r="M1" s="316" t="s">
        <v>106</v>
      </c>
      <c r="N1" s="316" t="s">
        <v>107</v>
      </c>
    </row>
    <row r="2" spans="1:914" ht="32.1" customHeight="1">
      <c r="A2" s="362"/>
      <c r="B2" s="444" t="s">
        <v>617</v>
      </c>
      <c r="C2" s="444"/>
      <c r="D2" s="363"/>
      <c r="E2" s="363"/>
      <c r="F2" s="364"/>
      <c r="G2" s="445" t="s">
        <v>110</v>
      </c>
      <c r="H2" s="445"/>
      <c r="I2" s="445"/>
      <c r="J2" s="445"/>
      <c r="K2" s="445"/>
      <c r="L2" s="445"/>
      <c r="M2" s="445"/>
      <c r="N2" s="445"/>
      <c r="O2" s="365"/>
    </row>
    <row r="3" spans="1:914" ht="51.6" customHeight="1">
      <c r="A3" s="362"/>
      <c r="B3" s="366" t="s">
        <v>40</v>
      </c>
      <c r="C3" s="366" t="s">
        <v>114</v>
      </c>
      <c r="D3" s="367" t="s">
        <v>112</v>
      </c>
      <c r="E3" s="368" t="s">
        <v>618</v>
      </c>
      <c r="F3" s="364"/>
      <c r="G3" s="369" t="s">
        <v>619</v>
      </c>
      <c r="H3" s="369" t="s">
        <v>117</v>
      </c>
      <c r="I3" s="369" t="s">
        <v>118</v>
      </c>
      <c r="J3" s="369" t="s">
        <v>620</v>
      </c>
      <c r="K3" s="369" t="s">
        <v>621</v>
      </c>
      <c r="L3" s="369" t="s">
        <v>622</v>
      </c>
      <c r="M3" s="369" t="s">
        <v>623</v>
      </c>
      <c r="N3" s="369" t="s">
        <v>123</v>
      </c>
      <c r="O3" s="370"/>
    </row>
    <row r="4" spans="1:914" ht="17.850000000000001" customHeight="1">
      <c r="A4" s="362"/>
      <c r="B4" s="371"/>
      <c r="C4" s="371"/>
      <c r="D4" s="372"/>
      <c r="E4" s="373" t="s">
        <v>624</v>
      </c>
      <c r="F4" s="374"/>
      <c r="G4" s="375" t="s">
        <v>218</v>
      </c>
      <c r="H4" s="375" t="s">
        <v>625</v>
      </c>
      <c r="I4" s="375" t="s">
        <v>626</v>
      </c>
      <c r="J4" s="375" t="s">
        <v>228</v>
      </c>
      <c r="K4" s="375" t="s">
        <v>627</v>
      </c>
      <c r="L4" s="375" t="s">
        <v>628</v>
      </c>
      <c r="M4" s="375" t="s">
        <v>629</v>
      </c>
      <c r="N4" s="375"/>
      <c r="O4" s="370"/>
    </row>
    <row r="5" spans="1:914">
      <c r="A5" s="362"/>
      <c r="B5" s="111"/>
      <c r="C5" s="111"/>
      <c r="D5" s="111"/>
      <c r="E5" s="376"/>
      <c r="F5" s="364"/>
      <c r="G5" s="111"/>
      <c r="H5" s="111"/>
      <c r="I5" s="111"/>
      <c r="J5" s="111"/>
      <c r="K5" s="111"/>
      <c r="L5" s="111"/>
      <c r="M5" s="111"/>
      <c r="N5" s="111"/>
      <c r="O5" s="370"/>
      <c r="AID5" s="377"/>
    </row>
    <row r="6" spans="1:914" ht="15">
      <c r="A6" s="378">
        <f t="shared" ref="A6:A52" si="0">A5+1</f>
        <v>1</v>
      </c>
      <c r="B6" s="379" t="s">
        <v>583</v>
      </c>
      <c r="C6" s="380" t="s">
        <v>584</v>
      </c>
      <c r="D6" s="379" t="s">
        <v>630</v>
      </c>
      <c r="E6" s="381">
        <f>0.12</f>
        <v>0.12</v>
      </c>
      <c r="F6" s="382">
        <f t="shared" ref="F6:F52" si="1">F5+1</f>
        <v>1</v>
      </c>
      <c r="G6" s="379"/>
      <c r="H6" s="379"/>
      <c r="I6" s="379"/>
      <c r="J6" s="379"/>
      <c r="K6" s="379"/>
      <c r="L6" s="379"/>
      <c r="M6" s="379"/>
      <c r="N6" s="379"/>
      <c r="O6" s="383">
        <f t="shared" ref="O6:O52" si="2">O5+1</f>
        <v>1</v>
      </c>
    </row>
    <row r="7" spans="1:914" ht="15">
      <c r="A7" s="378">
        <f t="shared" si="0"/>
        <v>2</v>
      </c>
      <c r="B7" s="379" t="s">
        <v>590</v>
      </c>
      <c r="C7" s="380" t="s">
        <v>591</v>
      </c>
      <c r="D7" s="379" t="s">
        <v>630</v>
      </c>
      <c r="E7" s="381">
        <f>0.12</f>
        <v>0.12</v>
      </c>
      <c r="F7" s="382">
        <f t="shared" si="1"/>
        <v>2</v>
      </c>
      <c r="G7" s="379"/>
      <c r="H7" s="379"/>
      <c r="I7" s="379"/>
      <c r="J7" s="379"/>
      <c r="K7" s="379"/>
      <c r="L7" s="379"/>
      <c r="M7" s="379"/>
      <c r="N7" s="379"/>
      <c r="O7" s="383">
        <f t="shared" si="2"/>
        <v>2</v>
      </c>
    </row>
    <row r="8" spans="1:914" ht="15">
      <c r="A8" s="378">
        <f t="shared" si="0"/>
        <v>3</v>
      </c>
      <c r="B8" s="379" t="s">
        <v>631</v>
      </c>
      <c r="C8" s="380" t="s">
        <v>632</v>
      </c>
      <c r="D8" s="379"/>
      <c r="E8" s="381">
        <f t="shared" ref="E8:E39" si="3">IF(ISERR(1/I8*(F8/1000)),"",1/I8*(F8/1000))</f>
        <v>3.5714285714285718E-6</v>
      </c>
      <c r="F8" s="382">
        <f t="shared" si="1"/>
        <v>3</v>
      </c>
      <c r="G8" s="379">
        <v>9.5</v>
      </c>
      <c r="H8" s="379">
        <v>1856</v>
      </c>
      <c r="I8" s="379">
        <v>840</v>
      </c>
      <c r="J8" s="379">
        <v>0.72</v>
      </c>
      <c r="K8" s="379"/>
      <c r="L8" s="379"/>
      <c r="M8" s="379"/>
      <c r="N8" s="379" t="s">
        <v>633</v>
      </c>
      <c r="O8" s="383">
        <f t="shared" si="2"/>
        <v>3</v>
      </c>
    </row>
    <row r="9" spans="1:914" ht="15">
      <c r="A9" s="378">
        <f t="shared" si="0"/>
        <v>4</v>
      </c>
      <c r="B9" s="379" t="s">
        <v>634</v>
      </c>
      <c r="C9" s="380" t="s">
        <v>635</v>
      </c>
      <c r="D9" s="379"/>
      <c r="E9" s="381">
        <f t="shared" si="3"/>
        <v>4.7619047619047624E-6</v>
      </c>
      <c r="F9" s="382">
        <f t="shared" si="1"/>
        <v>4</v>
      </c>
      <c r="G9" s="379">
        <v>25.4</v>
      </c>
      <c r="H9" s="379">
        <v>1856</v>
      </c>
      <c r="I9" s="379">
        <v>840</v>
      </c>
      <c r="J9" s="379">
        <v>0.72</v>
      </c>
      <c r="K9" s="379"/>
      <c r="L9" s="379"/>
      <c r="M9" s="379"/>
      <c r="N9" s="379" t="s">
        <v>633</v>
      </c>
      <c r="O9" s="383">
        <f t="shared" si="2"/>
        <v>4</v>
      </c>
    </row>
    <row r="10" spans="1:914" ht="15">
      <c r="A10" s="378">
        <f t="shared" si="0"/>
        <v>5</v>
      </c>
      <c r="B10" s="379" t="s">
        <v>579</v>
      </c>
      <c r="C10" s="380" t="s">
        <v>580</v>
      </c>
      <c r="D10" s="379"/>
      <c r="E10" s="381">
        <f t="shared" si="3"/>
        <v>1.0000000000000001E-5</v>
      </c>
      <c r="F10" s="382">
        <f t="shared" si="1"/>
        <v>5</v>
      </c>
      <c r="G10" s="379">
        <v>0.8</v>
      </c>
      <c r="H10" s="379">
        <v>7824</v>
      </c>
      <c r="I10" s="379">
        <v>500</v>
      </c>
      <c r="J10" s="379">
        <v>45.28</v>
      </c>
      <c r="K10" s="379"/>
      <c r="L10" s="379"/>
      <c r="M10" s="379"/>
      <c r="N10" s="379" t="s">
        <v>633</v>
      </c>
      <c r="O10" s="383">
        <f t="shared" si="2"/>
        <v>5</v>
      </c>
    </row>
    <row r="11" spans="1:914" ht="15">
      <c r="A11" s="378">
        <f t="shared" si="0"/>
        <v>6</v>
      </c>
      <c r="B11" s="379" t="s">
        <v>636</v>
      </c>
      <c r="C11" s="380" t="s">
        <v>637</v>
      </c>
      <c r="D11" s="379"/>
      <c r="E11" s="381">
        <f t="shared" si="3"/>
        <v>6.8181818181818183E-6</v>
      </c>
      <c r="F11" s="382">
        <f t="shared" si="1"/>
        <v>6</v>
      </c>
      <c r="G11" s="379">
        <v>6.4</v>
      </c>
      <c r="H11" s="379">
        <v>2528</v>
      </c>
      <c r="I11" s="379">
        <v>880</v>
      </c>
      <c r="J11" s="379">
        <v>0.99</v>
      </c>
      <c r="K11" s="379"/>
      <c r="L11" s="379"/>
      <c r="M11" s="379"/>
      <c r="N11" s="379" t="s">
        <v>633</v>
      </c>
      <c r="O11" s="383">
        <f t="shared" si="2"/>
        <v>6</v>
      </c>
    </row>
    <row r="12" spans="1:914" ht="15">
      <c r="A12" s="378">
        <f t="shared" si="0"/>
        <v>7</v>
      </c>
      <c r="B12" s="379" t="s">
        <v>638</v>
      </c>
      <c r="C12" s="380" t="s">
        <v>639</v>
      </c>
      <c r="D12" s="379"/>
      <c r="E12" s="381">
        <f t="shared" si="3"/>
        <v>8.8607594936708859E-6</v>
      </c>
      <c r="F12" s="382">
        <f t="shared" si="1"/>
        <v>7</v>
      </c>
      <c r="G12" s="379">
        <v>25.4</v>
      </c>
      <c r="H12" s="379">
        <v>2560</v>
      </c>
      <c r="I12" s="379">
        <v>790</v>
      </c>
      <c r="J12" s="379">
        <v>3.17</v>
      </c>
      <c r="K12" s="379"/>
      <c r="L12" s="379"/>
      <c r="M12" s="379"/>
      <c r="N12" s="379" t="s">
        <v>640</v>
      </c>
      <c r="O12" s="383">
        <f t="shared" si="2"/>
        <v>7</v>
      </c>
    </row>
    <row r="13" spans="1:914" ht="15">
      <c r="A13" s="378">
        <f t="shared" si="0"/>
        <v>8</v>
      </c>
      <c r="B13" s="379" t="s">
        <v>641</v>
      </c>
      <c r="C13" s="380" t="s">
        <v>642</v>
      </c>
      <c r="D13" s="379"/>
      <c r="E13" s="381">
        <f t="shared" si="3"/>
        <v>6.8376068376068378E-6</v>
      </c>
      <c r="F13" s="382">
        <f t="shared" si="1"/>
        <v>8</v>
      </c>
      <c r="G13" s="379">
        <v>12.7</v>
      </c>
      <c r="H13" s="379">
        <v>592</v>
      </c>
      <c r="I13" s="379">
        <v>1170</v>
      </c>
      <c r="J13" s="379">
        <v>0.09</v>
      </c>
      <c r="K13" s="379"/>
      <c r="L13" s="379"/>
      <c r="M13" s="379"/>
      <c r="N13" s="379" t="s">
        <v>643</v>
      </c>
      <c r="O13" s="383">
        <f t="shared" si="2"/>
        <v>8</v>
      </c>
    </row>
    <row r="14" spans="1:914" ht="15">
      <c r="A14" s="378">
        <f t="shared" si="0"/>
        <v>9</v>
      </c>
      <c r="B14" s="379" t="s">
        <v>644</v>
      </c>
      <c r="C14" s="380" t="s">
        <v>645</v>
      </c>
      <c r="D14" s="379"/>
      <c r="E14" s="381">
        <f t="shared" si="3"/>
        <v>7.1428571428571427E-6</v>
      </c>
      <c r="F14" s="382">
        <f t="shared" si="1"/>
        <v>9</v>
      </c>
      <c r="G14" s="379">
        <v>3.2</v>
      </c>
      <c r="H14" s="379">
        <v>1120</v>
      </c>
      <c r="I14" s="379">
        <v>1260</v>
      </c>
      <c r="J14" s="379">
        <v>0.04</v>
      </c>
      <c r="K14" s="379"/>
      <c r="L14" s="379"/>
      <c r="M14" s="379"/>
      <c r="N14" s="379" t="s">
        <v>646</v>
      </c>
      <c r="O14" s="383">
        <f t="shared" si="2"/>
        <v>9</v>
      </c>
    </row>
    <row r="15" spans="1:914" ht="15">
      <c r="A15" s="378">
        <f t="shared" si="0"/>
        <v>10</v>
      </c>
      <c r="B15" s="379" t="s">
        <v>647</v>
      </c>
      <c r="C15" s="380" t="s">
        <v>648</v>
      </c>
      <c r="D15" s="379"/>
      <c r="E15" s="381">
        <f t="shared" si="3"/>
        <v>6.8493150684931509E-6</v>
      </c>
      <c r="F15" s="382">
        <f t="shared" si="1"/>
        <v>10</v>
      </c>
      <c r="G15" s="379">
        <v>9.5</v>
      </c>
      <c r="H15" s="379">
        <v>1120</v>
      </c>
      <c r="I15" s="379">
        <v>1460</v>
      </c>
      <c r="J15" s="379">
        <v>0.16</v>
      </c>
      <c r="K15" s="379"/>
      <c r="L15" s="379"/>
      <c r="M15" s="379"/>
      <c r="N15" s="379" t="s">
        <v>649</v>
      </c>
      <c r="O15" s="383">
        <f t="shared" si="2"/>
        <v>10</v>
      </c>
    </row>
    <row r="16" spans="1:914" ht="15">
      <c r="A16" s="378">
        <f t="shared" si="0"/>
        <v>11</v>
      </c>
      <c r="B16" s="379" t="s">
        <v>650</v>
      </c>
      <c r="C16" s="380" t="s">
        <v>651</v>
      </c>
      <c r="D16" s="379"/>
      <c r="E16" s="381">
        <f t="shared" si="3"/>
        <v>8.7301587301587296E-6</v>
      </c>
      <c r="F16" s="382">
        <f t="shared" si="1"/>
        <v>11</v>
      </c>
      <c r="G16" s="379">
        <v>12.7</v>
      </c>
      <c r="H16" s="379">
        <v>1920</v>
      </c>
      <c r="I16" s="379">
        <v>1260</v>
      </c>
      <c r="J16" s="379">
        <v>1.59</v>
      </c>
      <c r="K16" s="379"/>
      <c r="L16" s="379"/>
      <c r="M16" s="379"/>
      <c r="N16" s="379" t="s">
        <v>646</v>
      </c>
      <c r="O16" s="383">
        <f t="shared" si="2"/>
        <v>11</v>
      </c>
    </row>
    <row r="17" spans="1:15" ht="15">
      <c r="A17" s="378">
        <f t="shared" si="0"/>
        <v>12</v>
      </c>
      <c r="B17" s="379" t="s">
        <v>652</v>
      </c>
      <c r="C17" s="380" t="s">
        <v>653</v>
      </c>
      <c r="D17" s="379"/>
      <c r="E17" s="381">
        <f t="shared" si="3"/>
        <v>9.2307692307692306E-6</v>
      </c>
      <c r="F17" s="382">
        <f t="shared" si="1"/>
        <v>12</v>
      </c>
      <c r="G17" s="379">
        <v>6.4</v>
      </c>
      <c r="H17" s="379">
        <v>592</v>
      </c>
      <c r="I17" s="379">
        <v>1300</v>
      </c>
      <c r="J17" s="379">
        <v>0.04</v>
      </c>
      <c r="K17" s="379"/>
      <c r="L17" s="379"/>
      <c r="M17" s="379"/>
      <c r="N17" s="379" t="s">
        <v>646</v>
      </c>
      <c r="O17" s="383">
        <f t="shared" si="2"/>
        <v>12</v>
      </c>
    </row>
    <row r="18" spans="1:15" ht="15">
      <c r="A18" s="378">
        <f t="shared" si="0"/>
        <v>13</v>
      </c>
      <c r="B18" s="379" t="s">
        <v>592</v>
      </c>
      <c r="C18" s="380" t="s">
        <v>593</v>
      </c>
      <c r="D18" s="379"/>
      <c r="E18" s="381">
        <f t="shared" si="3"/>
        <v>2.2033898305084744E-5</v>
      </c>
      <c r="F18" s="382">
        <f t="shared" si="1"/>
        <v>13</v>
      </c>
      <c r="G18" s="379">
        <v>19.100000000000001</v>
      </c>
      <c r="H18" s="379">
        <v>368</v>
      </c>
      <c r="I18" s="379">
        <v>590</v>
      </c>
      <c r="J18" s="379">
        <v>0.06</v>
      </c>
      <c r="K18" s="379"/>
      <c r="L18" s="379"/>
      <c r="M18" s="379"/>
      <c r="N18" s="379" t="s">
        <v>643</v>
      </c>
      <c r="O18" s="383">
        <f t="shared" si="2"/>
        <v>13</v>
      </c>
    </row>
    <row r="19" spans="1:15" ht="15">
      <c r="A19" s="378">
        <f t="shared" si="0"/>
        <v>14</v>
      </c>
      <c r="B19" s="379" t="s">
        <v>654</v>
      </c>
      <c r="C19" s="380" t="s">
        <v>655</v>
      </c>
      <c r="D19" s="379"/>
      <c r="E19" s="381">
        <f t="shared" si="3"/>
        <v>1.0144927536231884E-5</v>
      </c>
      <c r="F19" s="382">
        <f t="shared" si="1"/>
        <v>14</v>
      </c>
      <c r="G19" s="379">
        <v>12.7</v>
      </c>
      <c r="H19" s="379">
        <v>288</v>
      </c>
      <c r="I19" s="379">
        <v>1380</v>
      </c>
      <c r="J19" s="379">
        <v>0.06</v>
      </c>
      <c r="K19" s="379"/>
      <c r="L19" s="379"/>
      <c r="M19" s="379"/>
      <c r="N19" s="379" t="s">
        <v>640</v>
      </c>
      <c r="O19" s="383">
        <f t="shared" si="2"/>
        <v>14</v>
      </c>
    </row>
    <row r="20" spans="1:15" ht="15">
      <c r="A20" s="378">
        <f t="shared" si="0"/>
        <v>15</v>
      </c>
      <c r="B20" s="379" t="s">
        <v>656</v>
      </c>
      <c r="C20" s="380" t="s">
        <v>657</v>
      </c>
      <c r="D20" s="379"/>
      <c r="E20" s="381">
        <f t="shared" si="3"/>
        <v>1.89873417721519E-5</v>
      </c>
      <c r="F20" s="382">
        <f t="shared" si="1"/>
        <v>15</v>
      </c>
      <c r="G20" s="379">
        <v>25.4</v>
      </c>
      <c r="H20" s="379">
        <v>2560</v>
      </c>
      <c r="I20" s="379">
        <v>790</v>
      </c>
      <c r="J20" s="379">
        <v>1.8</v>
      </c>
      <c r="K20" s="379"/>
      <c r="L20" s="379"/>
      <c r="M20" s="379"/>
      <c r="N20" s="379" t="s">
        <v>649</v>
      </c>
      <c r="O20" s="383">
        <f t="shared" si="2"/>
        <v>15</v>
      </c>
    </row>
    <row r="21" spans="1:15" ht="15">
      <c r="A21" s="378">
        <f t="shared" si="0"/>
        <v>16</v>
      </c>
      <c r="B21" s="379" t="s">
        <v>658</v>
      </c>
      <c r="C21" s="380" t="s">
        <v>137</v>
      </c>
      <c r="D21" s="379"/>
      <c r="E21" s="381">
        <f t="shared" si="3"/>
        <v>1.4678899082568809E-5</v>
      </c>
      <c r="F21" s="382">
        <f t="shared" si="1"/>
        <v>16</v>
      </c>
      <c r="G21" s="379">
        <v>15.9</v>
      </c>
      <c r="H21" s="379">
        <v>800</v>
      </c>
      <c r="I21" s="379">
        <v>1090</v>
      </c>
      <c r="J21" s="379">
        <v>0.16</v>
      </c>
      <c r="K21" s="379"/>
      <c r="L21" s="379"/>
      <c r="M21" s="379"/>
      <c r="N21" s="379" t="s">
        <v>643</v>
      </c>
      <c r="O21" s="383">
        <f t="shared" si="2"/>
        <v>16</v>
      </c>
    </row>
    <row r="22" spans="1:15" ht="15">
      <c r="A22" s="378">
        <f t="shared" si="0"/>
        <v>17</v>
      </c>
      <c r="B22" s="379" t="s">
        <v>585</v>
      </c>
      <c r="C22" s="380" t="s">
        <v>586</v>
      </c>
      <c r="D22" s="379"/>
      <c r="E22" s="381">
        <f t="shared" si="3"/>
        <v>1.559633027522936E-5</v>
      </c>
      <c r="F22" s="382">
        <f t="shared" si="1"/>
        <v>17</v>
      </c>
      <c r="G22" s="379">
        <v>19</v>
      </c>
      <c r="H22" s="379">
        <v>800</v>
      </c>
      <c r="I22" s="379">
        <v>1090</v>
      </c>
      <c r="J22" s="379">
        <v>0.16</v>
      </c>
      <c r="K22" s="379"/>
      <c r="L22" s="379"/>
      <c r="M22" s="379"/>
      <c r="N22" s="379" t="s">
        <v>643</v>
      </c>
      <c r="O22" s="383">
        <f t="shared" si="2"/>
        <v>17</v>
      </c>
    </row>
    <row r="23" spans="1:15" ht="15">
      <c r="A23" s="378">
        <f t="shared" si="0"/>
        <v>18</v>
      </c>
      <c r="B23" s="379" t="s">
        <v>659</v>
      </c>
      <c r="C23" s="380" t="s">
        <v>660</v>
      </c>
      <c r="D23" s="379"/>
      <c r="E23" s="381">
        <f t="shared" si="3"/>
        <v>1.4876033057851239E-5</v>
      </c>
      <c r="F23" s="382">
        <f t="shared" si="1"/>
        <v>18</v>
      </c>
      <c r="G23" s="379">
        <v>15.9</v>
      </c>
      <c r="H23" s="379">
        <v>544</v>
      </c>
      <c r="I23" s="379">
        <v>1210</v>
      </c>
      <c r="J23" s="379">
        <v>0.12</v>
      </c>
      <c r="K23" s="379"/>
      <c r="L23" s="379"/>
      <c r="M23" s="379"/>
      <c r="N23" s="379" t="s">
        <v>633</v>
      </c>
      <c r="O23" s="383">
        <f t="shared" si="2"/>
        <v>18</v>
      </c>
    </row>
    <row r="24" spans="1:15" ht="15">
      <c r="A24" s="378">
        <f t="shared" si="0"/>
        <v>19</v>
      </c>
      <c r="B24" s="379" t="s">
        <v>659</v>
      </c>
      <c r="C24" s="380" t="s">
        <v>660</v>
      </c>
      <c r="D24" s="379"/>
      <c r="E24" s="381">
        <f t="shared" si="3"/>
        <v>1.5702479338842974E-5</v>
      </c>
      <c r="F24" s="382">
        <f t="shared" si="1"/>
        <v>19</v>
      </c>
      <c r="G24" s="379">
        <v>15.9</v>
      </c>
      <c r="H24" s="379">
        <v>544</v>
      </c>
      <c r="I24" s="379">
        <v>1210</v>
      </c>
      <c r="J24" s="379">
        <v>0.12</v>
      </c>
      <c r="K24" s="379"/>
      <c r="L24" s="379"/>
      <c r="M24" s="379"/>
      <c r="N24" s="379" t="s">
        <v>633</v>
      </c>
      <c r="O24" s="383">
        <f t="shared" si="2"/>
        <v>19</v>
      </c>
    </row>
    <row r="25" spans="1:15" ht="15">
      <c r="A25" s="378">
        <f t="shared" si="0"/>
        <v>20</v>
      </c>
      <c r="B25" s="379" t="s">
        <v>661</v>
      </c>
      <c r="C25" s="380" t="s">
        <v>662</v>
      </c>
      <c r="D25" s="379"/>
      <c r="E25" s="381">
        <f t="shared" si="3"/>
        <v>1.5384615384615384E-5</v>
      </c>
      <c r="F25" s="382">
        <f t="shared" si="1"/>
        <v>20</v>
      </c>
      <c r="G25" s="379">
        <v>12.7</v>
      </c>
      <c r="H25" s="379">
        <v>400</v>
      </c>
      <c r="I25" s="379">
        <v>1300</v>
      </c>
      <c r="J25" s="379">
        <v>7.0000000000000007E-2</v>
      </c>
      <c r="K25" s="379"/>
      <c r="L25" s="379"/>
      <c r="M25" s="379"/>
      <c r="N25" s="379" t="s">
        <v>633</v>
      </c>
      <c r="O25" s="383">
        <f t="shared" si="2"/>
        <v>20</v>
      </c>
    </row>
    <row r="26" spans="1:15" ht="15">
      <c r="A26" s="378">
        <f t="shared" si="0"/>
        <v>21</v>
      </c>
      <c r="B26" s="379" t="s">
        <v>663</v>
      </c>
      <c r="C26" s="380" t="s">
        <v>664</v>
      </c>
      <c r="D26" s="379"/>
      <c r="E26" s="381">
        <f t="shared" si="3"/>
        <v>1.2883435582822087E-5</v>
      </c>
      <c r="F26" s="382">
        <f t="shared" si="1"/>
        <v>21</v>
      </c>
      <c r="G26" s="379">
        <v>12.7</v>
      </c>
      <c r="H26" s="379">
        <v>608</v>
      </c>
      <c r="I26" s="379">
        <v>1630</v>
      </c>
      <c r="J26" s="379">
        <v>0.15</v>
      </c>
      <c r="K26" s="379"/>
      <c r="L26" s="379"/>
      <c r="M26" s="379"/>
      <c r="N26" s="379" t="s">
        <v>643</v>
      </c>
      <c r="O26" s="383">
        <f t="shared" si="2"/>
        <v>21</v>
      </c>
    </row>
    <row r="27" spans="1:15" ht="15">
      <c r="A27" s="378">
        <f t="shared" si="0"/>
        <v>22</v>
      </c>
      <c r="B27" s="379" t="s">
        <v>597</v>
      </c>
      <c r="C27" s="380" t="s">
        <v>598</v>
      </c>
      <c r="D27" s="379"/>
      <c r="E27" s="381">
        <f t="shared" si="3"/>
        <v>1.3496932515337424E-5</v>
      </c>
      <c r="F27" s="382">
        <f t="shared" si="1"/>
        <v>22</v>
      </c>
      <c r="G27" s="379">
        <v>25.4</v>
      </c>
      <c r="H27" s="379">
        <v>608</v>
      </c>
      <c r="I27" s="379">
        <v>1630</v>
      </c>
      <c r="J27" s="379">
        <v>0.15</v>
      </c>
      <c r="K27" s="379"/>
      <c r="L27" s="379"/>
      <c r="M27" s="379"/>
      <c r="N27" s="379" t="s">
        <v>643</v>
      </c>
      <c r="O27" s="383">
        <f t="shared" si="2"/>
        <v>22</v>
      </c>
    </row>
    <row r="28" spans="1:15" ht="15">
      <c r="A28" s="378">
        <f t="shared" si="0"/>
        <v>23</v>
      </c>
      <c r="B28" s="379" t="s">
        <v>665</v>
      </c>
      <c r="C28" s="380" t="s">
        <v>666</v>
      </c>
      <c r="D28" s="379"/>
      <c r="E28" s="381">
        <f t="shared" si="3"/>
        <v>1.4110429447852761E-5</v>
      </c>
      <c r="F28" s="382">
        <f t="shared" si="1"/>
        <v>23</v>
      </c>
      <c r="G28" s="379">
        <v>50.8</v>
      </c>
      <c r="H28" s="379">
        <v>608</v>
      </c>
      <c r="I28" s="379">
        <v>1630</v>
      </c>
      <c r="J28" s="379">
        <v>0.15</v>
      </c>
      <c r="K28" s="379"/>
      <c r="L28" s="379"/>
      <c r="M28" s="379"/>
      <c r="N28" s="379" t="s">
        <v>643</v>
      </c>
      <c r="O28" s="383">
        <f t="shared" si="2"/>
        <v>23</v>
      </c>
    </row>
    <row r="29" spans="1:15" ht="15">
      <c r="A29" s="378">
        <f t="shared" si="0"/>
        <v>24</v>
      </c>
      <c r="B29" s="379" t="s">
        <v>667</v>
      </c>
      <c r="C29" s="380" t="s">
        <v>668</v>
      </c>
      <c r="D29" s="379"/>
      <c r="E29" s="381">
        <f t="shared" si="3"/>
        <v>1.4723926380368099E-5</v>
      </c>
      <c r="F29" s="382">
        <f t="shared" si="1"/>
        <v>24</v>
      </c>
      <c r="G29" s="379">
        <v>101.6</v>
      </c>
      <c r="H29" s="379">
        <v>608</v>
      </c>
      <c r="I29" s="379">
        <v>1630</v>
      </c>
      <c r="J29" s="379">
        <v>0.15</v>
      </c>
      <c r="K29" s="379"/>
      <c r="L29" s="379"/>
      <c r="M29" s="379"/>
      <c r="N29" s="379" t="s">
        <v>643</v>
      </c>
      <c r="O29" s="383">
        <f t="shared" si="2"/>
        <v>24</v>
      </c>
    </row>
    <row r="30" spans="1:15" ht="15">
      <c r="A30" s="378">
        <f t="shared" si="0"/>
        <v>25</v>
      </c>
      <c r="B30" s="379" t="s">
        <v>669</v>
      </c>
      <c r="C30" s="380" t="s">
        <v>670</v>
      </c>
      <c r="D30" s="379"/>
      <c r="E30" s="381">
        <f t="shared" si="3"/>
        <v>2.066115702479339E-5</v>
      </c>
      <c r="F30" s="382">
        <f t="shared" si="1"/>
        <v>25</v>
      </c>
      <c r="G30" s="379">
        <v>25.4</v>
      </c>
      <c r="H30" s="379">
        <v>43</v>
      </c>
      <c r="I30" s="379">
        <v>1210</v>
      </c>
      <c r="J30" s="379">
        <v>0.03</v>
      </c>
      <c r="K30" s="379"/>
      <c r="L30" s="379"/>
      <c r="M30" s="379"/>
      <c r="N30" s="379" t="s">
        <v>640</v>
      </c>
      <c r="O30" s="383">
        <f t="shared" si="2"/>
        <v>25</v>
      </c>
    </row>
    <row r="31" spans="1:15" ht="15">
      <c r="A31" s="378">
        <f t="shared" si="0"/>
        <v>26</v>
      </c>
      <c r="B31" s="379" t="s">
        <v>581</v>
      </c>
      <c r="C31" s="380" t="s">
        <v>582</v>
      </c>
      <c r="D31" s="379"/>
      <c r="E31" s="381">
        <f t="shared" si="3"/>
        <v>2.1487603305785124E-5</v>
      </c>
      <c r="F31" s="382">
        <f t="shared" si="1"/>
        <v>26</v>
      </c>
      <c r="G31" s="379">
        <v>50.8</v>
      </c>
      <c r="H31" s="379">
        <v>43</v>
      </c>
      <c r="I31" s="379">
        <v>1210</v>
      </c>
      <c r="J31" s="379">
        <v>0.03</v>
      </c>
      <c r="K31" s="379"/>
      <c r="L31" s="379"/>
      <c r="M31" s="379"/>
      <c r="N31" s="379" t="s">
        <v>640</v>
      </c>
      <c r="O31" s="383">
        <f t="shared" si="2"/>
        <v>26</v>
      </c>
    </row>
    <row r="32" spans="1:15" ht="15">
      <c r="A32" s="378">
        <f t="shared" si="0"/>
        <v>27</v>
      </c>
      <c r="B32" s="379" t="s">
        <v>671</v>
      </c>
      <c r="C32" s="380" t="s">
        <v>672</v>
      </c>
      <c r="D32" s="379"/>
      <c r="E32" s="381">
        <f t="shared" si="3"/>
        <v>2.2314049586776857E-5</v>
      </c>
      <c r="F32" s="382">
        <f t="shared" si="1"/>
        <v>27</v>
      </c>
      <c r="G32" s="379">
        <v>76.2</v>
      </c>
      <c r="H32" s="379">
        <v>43</v>
      </c>
      <c r="I32" s="379">
        <v>1210</v>
      </c>
      <c r="J32" s="379">
        <v>0.03</v>
      </c>
      <c r="K32" s="379"/>
      <c r="L32" s="379"/>
      <c r="M32" s="379"/>
      <c r="N32" s="379" t="s">
        <v>640</v>
      </c>
      <c r="O32" s="383">
        <f t="shared" si="2"/>
        <v>27</v>
      </c>
    </row>
    <row r="33" spans="1:15" ht="15">
      <c r="A33" s="378">
        <f t="shared" si="0"/>
        <v>28</v>
      </c>
      <c r="B33" s="379" t="s">
        <v>673</v>
      </c>
      <c r="C33" s="380" t="s">
        <v>674</v>
      </c>
      <c r="D33" s="379"/>
      <c r="E33" s="381">
        <f t="shared" si="3"/>
        <v>2.9166666666666666E-5</v>
      </c>
      <c r="F33" s="382">
        <f t="shared" si="1"/>
        <v>28</v>
      </c>
      <c r="G33" s="379">
        <v>89.4</v>
      </c>
      <c r="H33" s="379">
        <v>19</v>
      </c>
      <c r="I33" s="379">
        <v>960</v>
      </c>
      <c r="J33" s="379">
        <v>0.05</v>
      </c>
      <c r="K33" s="379"/>
      <c r="L33" s="379"/>
      <c r="M33" s="379"/>
      <c r="N33" s="379" t="s">
        <v>646</v>
      </c>
      <c r="O33" s="383">
        <f t="shared" si="2"/>
        <v>28</v>
      </c>
    </row>
    <row r="34" spans="1:15" ht="15">
      <c r="A34" s="378">
        <f t="shared" si="0"/>
        <v>29</v>
      </c>
      <c r="B34" s="379" t="s">
        <v>675</v>
      </c>
      <c r="C34" s="380" t="s">
        <v>676</v>
      </c>
      <c r="D34" s="379"/>
      <c r="E34" s="381">
        <f t="shared" si="3"/>
        <v>3.0208333333333334E-5</v>
      </c>
      <c r="F34" s="382">
        <f t="shared" si="1"/>
        <v>29</v>
      </c>
      <c r="G34" s="379">
        <v>243.8</v>
      </c>
      <c r="H34" s="379">
        <v>19</v>
      </c>
      <c r="I34" s="379">
        <v>960</v>
      </c>
      <c r="J34" s="379">
        <v>0.05</v>
      </c>
      <c r="K34" s="379"/>
      <c r="L34" s="379"/>
      <c r="M34" s="379"/>
      <c r="N34" s="379" t="s">
        <v>646</v>
      </c>
      <c r="O34" s="383">
        <f t="shared" si="2"/>
        <v>29</v>
      </c>
    </row>
    <row r="35" spans="1:15" ht="15">
      <c r="A35" s="378">
        <f t="shared" si="0"/>
        <v>30</v>
      </c>
      <c r="B35" s="379" t="s">
        <v>600</v>
      </c>
      <c r="C35" s="380" t="s">
        <v>601</v>
      </c>
      <c r="D35" s="379"/>
      <c r="E35" s="381">
        <f t="shared" si="3"/>
        <v>3.79746835443038E-5</v>
      </c>
      <c r="F35" s="382">
        <f t="shared" si="1"/>
        <v>30</v>
      </c>
      <c r="G35" s="379">
        <v>101.6</v>
      </c>
      <c r="H35" s="379">
        <v>1920</v>
      </c>
      <c r="I35" s="379">
        <v>790</v>
      </c>
      <c r="J35" s="379">
        <v>0.89</v>
      </c>
      <c r="K35" s="379"/>
      <c r="L35" s="379"/>
      <c r="M35" s="379"/>
      <c r="N35" s="379" t="s">
        <v>640</v>
      </c>
      <c r="O35" s="383">
        <f t="shared" si="2"/>
        <v>30</v>
      </c>
    </row>
    <row r="36" spans="1:15" ht="15">
      <c r="A36" s="378">
        <f t="shared" si="0"/>
        <v>31</v>
      </c>
      <c r="B36" s="379" t="s">
        <v>677</v>
      </c>
      <c r="C36" s="380" t="s">
        <v>678</v>
      </c>
      <c r="D36" s="379"/>
      <c r="E36" s="381">
        <f t="shared" si="3"/>
        <v>3.5227272727272725E-5</v>
      </c>
      <c r="F36" s="382">
        <f t="shared" si="1"/>
        <v>31</v>
      </c>
      <c r="G36" s="379">
        <v>152.4</v>
      </c>
      <c r="H36" s="379">
        <v>512</v>
      </c>
      <c r="I36" s="379">
        <v>880</v>
      </c>
      <c r="J36" s="379">
        <v>0.49</v>
      </c>
      <c r="K36" s="379"/>
      <c r="L36" s="379"/>
      <c r="M36" s="379"/>
      <c r="N36" s="379" t="s">
        <v>640</v>
      </c>
      <c r="O36" s="383">
        <f t="shared" si="2"/>
        <v>31</v>
      </c>
    </row>
    <row r="37" spans="1:15" ht="15">
      <c r="A37" s="378">
        <f t="shared" si="0"/>
        <v>32</v>
      </c>
      <c r="B37" s="379" t="s">
        <v>679</v>
      </c>
      <c r="C37" s="380" t="s">
        <v>680</v>
      </c>
      <c r="D37" s="379"/>
      <c r="E37" s="381">
        <f t="shared" si="3"/>
        <v>3.6363636363636364E-5</v>
      </c>
      <c r="F37" s="382">
        <f t="shared" si="1"/>
        <v>32</v>
      </c>
      <c r="G37" s="379">
        <v>203.2</v>
      </c>
      <c r="H37" s="379">
        <v>464</v>
      </c>
      <c r="I37" s="379">
        <v>880</v>
      </c>
      <c r="J37" s="379">
        <v>0.5</v>
      </c>
      <c r="K37" s="379"/>
      <c r="L37" s="379"/>
      <c r="M37" s="379"/>
      <c r="N37" s="379" t="s">
        <v>640</v>
      </c>
      <c r="O37" s="383">
        <f t="shared" si="2"/>
        <v>32</v>
      </c>
    </row>
    <row r="38" spans="1:15" ht="15">
      <c r="A38" s="378">
        <f t="shared" si="0"/>
        <v>33</v>
      </c>
      <c r="B38" s="379" t="s">
        <v>681</v>
      </c>
      <c r="C38" s="380" t="s">
        <v>682</v>
      </c>
      <c r="D38" s="379"/>
      <c r="E38" s="381">
        <f t="shared" si="3"/>
        <v>3.7499999999999997E-5</v>
      </c>
      <c r="F38" s="382">
        <f t="shared" si="1"/>
        <v>33</v>
      </c>
      <c r="G38" s="379">
        <v>304.8</v>
      </c>
      <c r="H38" s="379">
        <v>512</v>
      </c>
      <c r="I38" s="379">
        <v>880</v>
      </c>
      <c r="J38" s="379">
        <v>0.71</v>
      </c>
      <c r="K38" s="379"/>
      <c r="L38" s="379"/>
      <c r="M38" s="379"/>
      <c r="N38" s="379" t="s">
        <v>640</v>
      </c>
      <c r="O38" s="383">
        <f t="shared" si="2"/>
        <v>33</v>
      </c>
    </row>
    <row r="39" spans="1:15" ht="15">
      <c r="A39" s="378">
        <f t="shared" si="0"/>
        <v>34</v>
      </c>
      <c r="B39" s="379" t="s">
        <v>613</v>
      </c>
      <c r="C39" s="380" t="s">
        <v>614</v>
      </c>
      <c r="D39" s="379"/>
      <c r="E39" s="381">
        <f t="shared" si="3"/>
        <v>3.6956521739130438E-5</v>
      </c>
      <c r="F39" s="382">
        <f t="shared" si="1"/>
        <v>34</v>
      </c>
      <c r="G39" s="379">
        <v>203.2</v>
      </c>
      <c r="H39" s="379">
        <v>800</v>
      </c>
      <c r="I39" s="379">
        <v>920</v>
      </c>
      <c r="J39" s="379">
        <v>1.1100000000000001</v>
      </c>
      <c r="K39" s="379"/>
      <c r="L39" s="379"/>
      <c r="M39" s="379"/>
      <c r="N39" s="379" t="s">
        <v>640</v>
      </c>
      <c r="O39" s="383">
        <f t="shared" si="2"/>
        <v>34</v>
      </c>
    </row>
    <row r="40" spans="1:15" ht="15">
      <c r="A40" s="378">
        <f t="shared" si="0"/>
        <v>35</v>
      </c>
      <c r="B40" s="379" t="s">
        <v>683</v>
      </c>
      <c r="C40" s="380" t="s">
        <v>684</v>
      </c>
      <c r="D40" s="379"/>
      <c r="E40" s="381">
        <f t="shared" ref="E40:E71" si="4">IF(ISERR(1/I40*(F40/1000)),"",1/I40*(F40/1000))</f>
        <v>3.8043478260869569E-5</v>
      </c>
      <c r="F40" s="382">
        <f t="shared" si="1"/>
        <v>35</v>
      </c>
      <c r="G40" s="379">
        <v>304.8</v>
      </c>
      <c r="H40" s="379">
        <v>800</v>
      </c>
      <c r="I40" s="379">
        <v>920</v>
      </c>
      <c r="J40" s="379">
        <v>1.4</v>
      </c>
      <c r="K40" s="379"/>
      <c r="L40" s="379"/>
      <c r="M40" s="379"/>
      <c r="N40" s="379" t="s">
        <v>640</v>
      </c>
      <c r="O40" s="383">
        <f t="shared" si="2"/>
        <v>35</v>
      </c>
    </row>
    <row r="41" spans="1:15" ht="15">
      <c r="A41" s="378">
        <f t="shared" si="0"/>
        <v>36</v>
      </c>
      <c r="B41" s="379" t="s">
        <v>685</v>
      </c>
      <c r="C41" s="380" t="s">
        <v>686</v>
      </c>
      <c r="D41" s="379"/>
      <c r="E41" s="381">
        <f t="shared" si="4"/>
        <v>4.0909090909090901E-5</v>
      </c>
      <c r="F41" s="382">
        <f t="shared" si="1"/>
        <v>36</v>
      </c>
      <c r="G41" s="379">
        <v>152.4</v>
      </c>
      <c r="H41" s="379">
        <v>512</v>
      </c>
      <c r="I41" s="379">
        <v>880</v>
      </c>
      <c r="J41" s="379">
        <v>0.28999999999999998</v>
      </c>
      <c r="K41" s="379"/>
      <c r="L41" s="379"/>
      <c r="M41" s="379"/>
      <c r="N41" s="379" t="s">
        <v>640</v>
      </c>
      <c r="O41" s="383">
        <f t="shared" si="2"/>
        <v>36</v>
      </c>
    </row>
    <row r="42" spans="1:15" ht="15">
      <c r="A42" s="378">
        <f t="shared" si="0"/>
        <v>37</v>
      </c>
      <c r="B42" s="379" t="s">
        <v>687</v>
      </c>
      <c r="C42" s="380" t="s">
        <v>688</v>
      </c>
      <c r="D42" s="379"/>
      <c r="E42" s="381">
        <f t="shared" si="4"/>
        <v>4.2045454545454541E-5</v>
      </c>
      <c r="F42" s="382">
        <f t="shared" si="1"/>
        <v>37</v>
      </c>
      <c r="G42" s="379">
        <v>203.2</v>
      </c>
      <c r="H42" s="379">
        <v>464</v>
      </c>
      <c r="I42" s="379">
        <v>880</v>
      </c>
      <c r="J42" s="379">
        <v>0.26</v>
      </c>
      <c r="K42" s="379"/>
      <c r="L42" s="379"/>
      <c r="M42" s="379"/>
      <c r="N42" s="379" t="s">
        <v>640</v>
      </c>
      <c r="O42" s="383">
        <f t="shared" si="2"/>
        <v>37</v>
      </c>
    </row>
    <row r="43" spans="1:15" ht="15">
      <c r="A43" s="378">
        <f t="shared" si="0"/>
        <v>38</v>
      </c>
      <c r="B43" s="379" t="s">
        <v>689</v>
      </c>
      <c r="C43" s="380" t="s">
        <v>690</v>
      </c>
      <c r="D43" s="379"/>
      <c r="E43" s="381">
        <f t="shared" si="4"/>
        <v>4.318181818181818E-5</v>
      </c>
      <c r="F43" s="382">
        <f t="shared" si="1"/>
        <v>38</v>
      </c>
      <c r="G43" s="379">
        <v>304.8</v>
      </c>
      <c r="H43" s="379">
        <v>512</v>
      </c>
      <c r="I43" s="379">
        <v>880</v>
      </c>
      <c r="J43" s="379">
        <v>0.28999999999999998</v>
      </c>
      <c r="K43" s="379"/>
      <c r="L43" s="379"/>
      <c r="M43" s="379"/>
      <c r="N43" s="379" t="s">
        <v>640</v>
      </c>
      <c r="O43" s="383">
        <f t="shared" si="2"/>
        <v>38</v>
      </c>
    </row>
    <row r="44" spans="1:15" ht="15">
      <c r="A44" s="378">
        <f t="shared" si="0"/>
        <v>39</v>
      </c>
      <c r="B44" s="379" t="s">
        <v>691</v>
      </c>
      <c r="C44" s="380" t="s">
        <v>692</v>
      </c>
      <c r="D44" s="379"/>
      <c r="E44" s="381">
        <f t="shared" si="4"/>
        <v>4.239130434782609E-5</v>
      </c>
      <c r="F44" s="382">
        <f t="shared" si="1"/>
        <v>39</v>
      </c>
      <c r="G44" s="379">
        <v>203.2</v>
      </c>
      <c r="H44" s="379">
        <v>800</v>
      </c>
      <c r="I44" s="379">
        <v>920</v>
      </c>
      <c r="J44" s="379">
        <v>0.72</v>
      </c>
      <c r="K44" s="379"/>
      <c r="L44" s="379"/>
      <c r="M44" s="379"/>
      <c r="N44" s="379" t="s">
        <v>640</v>
      </c>
      <c r="O44" s="383">
        <f t="shared" si="2"/>
        <v>39</v>
      </c>
    </row>
    <row r="45" spans="1:15" ht="15">
      <c r="A45" s="378">
        <f t="shared" si="0"/>
        <v>40</v>
      </c>
      <c r="B45" s="379" t="s">
        <v>588</v>
      </c>
      <c r="C45" s="380" t="s">
        <v>589</v>
      </c>
      <c r="D45" s="379"/>
      <c r="E45" s="381">
        <f t="shared" si="4"/>
        <v>4.7619047619047627E-5</v>
      </c>
      <c r="F45" s="382">
        <f t="shared" si="1"/>
        <v>40</v>
      </c>
      <c r="G45" s="379">
        <v>101.6</v>
      </c>
      <c r="H45" s="379">
        <v>1280</v>
      </c>
      <c r="I45" s="379">
        <v>840</v>
      </c>
      <c r="J45" s="379">
        <v>0.53</v>
      </c>
      <c r="K45" s="379"/>
      <c r="L45" s="379"/>
      <c r="M45" s="379"/>
      <c r="N45" s="379" t="s">
        <v>640</v>
      </c>
      <c r="O45" s="383">
        <f t="shared" si="2"/>
        <v>40</v>
      </c>
    </row>
    <row r="46" spans="1:15" ht="15">
      <c r="A46" s="378">
        <f t="shared" si="0"/>
        <v>41</v>
      </c>
      <c r="B46" s="379" t="s">
        <v>693</v>
      </c>
      <c r="C46" s="380" t="s">
        <v>694</v>
      </c>
      <c r="D46" s="379"/>
      <c r="E46" s="381">
        <f t="shared" si="4"/>
        <v>4.8809523809523818E-5</v>
      </c>
      <c r="F46" s="382">
        <f t="shared" si="1"/>
        <v>41</v>
      </c>
      <c r="G46" s="379">
        <v>152.4</v>
      </c>
      <c r="H46" s="379">
        <v>1280</v>
      </c>
      <c r="I46" s="379">
        <v>840</v>
      </c>
      <c r="J46" s="379">
        <v>0.53</v>
      </c>
      <c r="K46" s="379"/>
      <c r="L46" s="379"/>
      <c r="M46" s="379"/>
      <c r="N46" s="379" t="s">
        <v>640</v>
      </c>
      <c r="O46" s="383">
        <f t="shared" si="2"/>
        <v>41</v>
      </c>
    </row>
    <row r="47" spans="1:15" ht="15">
      <c r="A47" s="378">
        <f t="shared" si="0"/>
        <v>42</v>
      </c>
      <c r="B47" s="379" t="s">
        <v>695</v>
      </c>
      <c r="C47" s="380" t="s">
        <v>696</v>
      </c>
      <c r="D47" s="379"/>
      <c r="E47" s="381">
        <f t="shared" si="4"/>
        <v>5.0000000000000009E-5</v>
      </c>
      <c r="F47" s="382">
        <f t="shared" si="1"/>
        <v>42</v>
      </c>
      <c r="G47" s="379">
        <v>203.2</v>
      </c>
      <c r="H47" s="379">
        <v>1280</v>
      </c>
      <c r="I47" s="379">
        <v>840</v>
      </c>
      <c r="J47" s="379">
        <v>0.53</v>
      </c>
      <c r="K47" s="379"/>
      <c r="L47" s="379"/>
      <c r="M47" s="379"/>
      <c r="N47" s="379" t="s">
        <v>640</v>
      </c>
      <c r="O47" s="383">
        <f t="shared" si="2"/>
        <v>42</v>
      </c>
    </row>
    <row r="48" spans="1:15" ht="15">
      <c r="A48" s="378">
        <f t="shared" si="0"/>
        <v>43</v>
      </c>
      <c r="B48" s="379" t="s">
        <v>697</v>
      </c>
      <c r="C48" s="380" t="s">
        <v>604</v>
      </c>
      <c r="D48" s="379"/>
      <c r="E48" s="381">
        <f t="shared" si="4"/>
        <v>4.7777777777777771E-5</v>
      </c>
      <c r="F48" s="382">
        <f t="shared" si="1"/>
        <v>43</v>
      </c>
      <c r="G48" s="379">
        <v>101.6</v>
      </c>
      <c r="H48" s="379">
        <v>2240</v>
      </c>
      <c r="I48" s="379">
        <v>900</v>
      </c>
      <c r="J48" s="379">
        <v>1.95</v>
      </c>
      <c r="K48" s="379"/>
      <c r="L48" s="379"/>
      <c r="M48" s="379"/>
      <c r="N48" s="379" t="s">
        <v>640</v>
      </c>
      <c r="O48" s="383">
        <f t="shared" si="2"/>
        <v>43</v>
      </c>
    </row>
    <row r="49" spans="1:15" ht="15">
      <c r="A49" s="378">
        <f t="shared" si="0"/>
        <v>44</v>
      </c>
      <c r="B49" s="379" t="s">
        <v>697</v>
      </c>
      <c r="C49" s="380" t="s">
        <v>698</v>
      </c>
      <c r="D49" s="379"/>
      <c r="E49" s="381">
        <f t="shared" si="4"/>
        <v>4.8888888888888883E-5</v>
      </c>
      <c r="F49" s="382">
        <f t="shared" si="1"/>
        <v>44</v>
      </c>
      <c r="G49" s="379">
        <v>152.4</v>
      </c>
      <c r="H49" s="379">
        <v>2240</v>
      </c>
      <c r="I49" s="379">
        <v>900</v>
      </c>
      <c r="J49" s="379">
        <v>1.95</v>
      </c>
      <c r="K49" s="379"/>
      <c r="L49" s="379"/>
      <c r="M49" s="379"/>
      <c r="N49" s="379" t="s">
        <v>640</v>
      </c>
      <c r="O49" s="383">
        <f t="shared" si="2"/>
        <v>44</v>
      </c>
    </row>
    <row r="50" spans="1:15" ht="15">
      <c r="A50" s="378">
        <f t="shared" si="0"/>
        <v>45</v>
      </c>
      <c r="B50" s="379" t="s">
        <v>609</v>
      </c>
      <c r="C50" s="380" t="s">
        <v>610</v>
      </c>
      <c r="D50" s="379"/>
      <c r="E50" s="381">
        <f t="shared" si="4"/>
        <v>4.9999999999999996E-5</v>
      </c>
      <c r="F50" s="382">
        <f t="shared" si="1"/>
        <v>45</v>
      </c>
      <c r="G50" s="379">
        <v>203.2</v>
      </c>
      <c r="H50" s="379">
        <v>2240</v>
      </c>
      <c r="I50" s="379">
        <v>900</v>
      </c>
      <c r="J50" s="379">
        <v>1.95</v>
      </c>
      <c r="K50" s="379"/>
      <c r="L50" s="379"/>
      <c r="M50" s="379"/>
      <c r="N50" s="379" t="s">
        <v>640</v>
      </c>
      <c r="O50" s="383">
        <f t="shared" si="2"/>
        <v>45</v>
      </c>
    </row>
    <row r="51" spans="1:15" ht="15">
      <c r="A51" s="378">
        <f t="shared" si="0"/>
        <v>46</v>
      </c>
      <c r="B51" s="379" t="s">
        <v>699</v>
      </c>
      <c r="C51" s="380" t="s">
        <v>700</v>
      </c>
      <c r="D51" s="379"/>
      <c r="E51" s="381">
        <f t="shared" si="4"/>
        <v>5.1111111111111108E-5</v>
      </c>
      <c r="F51" s="382">
        <f t="shared" si="1"/>
        <v>46</v>
      </c>
      <c r="G51" s="379">
        <v>304.8</v>
      </c>
      <c r="H51" s="379">
        <v>2240</v>
      </c>
      <c r="I51" s="379">
        <v>900</v>
      </c>
      <c r="J51" s="379">
        <v>1.95</v>
      </c>
      <c r="K51" s="379"/>
      <c r="L51" s="379"/>
      <c r="M51" s="379"/>
      <c r="N51" s="379" t="s">
        <v>640</v>
      </c>
      <c r="O51" s="383">
        <f t="shared" si="2"/>
        <v>46</v>
      </c>
    </row>
    <row r="52" spans="1:15" ht="15">
      <c r="A52" s="378">
        <f t="shared" si="0"/>
        <v>47</v>
      </c>
      <c r="B52" s="379" t="s">
        <v>701</v>
      </c>
      <c r="C52" s="380" t="s">
        <v>702</v>
      </c>
      <c r="D52" s="379"/>
      <c r="E52" s="381">
        <f t="shared" si="4"/>
        <v>5.5952380952380957E-5</v>
      </c>
      <c r="F52" s="382">
        <f t="shared" si="1"/>
        <v>47</v>
      </c>
      <c r="G52" s="379">
        <v>50.8</v>
      </c>
      <c r="H52" s="379">
        <v>640</v>
      </c>
      <c r="I52" s="379">
        <v>840</v>
      </c>
      <c r="J52" s="379">
        <v>0.19</v>
      </c>
      <c r="K52" s="379"/>
      <c r="L52" s="379"/>
      <c r="M52" s="379"/>
      <c r="N52" s="379" t="s">
        <v>640</v>
      </c>
      <c r="O52" s="383">
        <f t="shared" si="2"/>
        <v>47</v>
      </c>
    </row>
    <row r="53" spans="1:15" ht="15">
      <c r="A53" s="378">
        <v>1</v>
      </c>
      <c r="B53" s="384" t="str">
        <f t="shared" ref="B53:B61" si="5">IF(ISERR(1/F53*(C53/1000)),"",1/F53*(C53/1000))</f>
        <v/>
      </c>
      <c r="C53" s="380" t="s">
        <v>703</v>
      </c>
      <c r="D53" s="379"/>
      <c r="E53" s="381">
        <f t="shared" si="4"/>
        <v>9.9999999999999995E-7</v>
      </c>
      <c r="F53" s="382">
        <v>1</v>
      </c>
      <c r="G53" s="379">
        <v>3.2</v>
      </c>
      <c r="H53" s="379">
        <v>1900</v>
      </c>
      <c r="I53" s="379">
        <v>1000</v>
      </c>
      <c r="J53" s="379">
        <v>0.57999999999999996</v>
      </c>
      <c r="K53" s="379"/>
      <c r="L53" s="379"/>
      <c r="M53" s="379"/>
      <c r="N53" s="379" t="s">
        <v>633</v>
      </c>
      <c r="O53" s="383">
        <v>1</v>
      </c>
    </row>
    <row r="54" spans="1:15" ht="15">
      <c r="A54" s="378">
        <f t="shared" ref="A54:A85" si="6">A53+1</f>
        <v>2</v>
      </c>
      <c r="B54" s="384" t="str">
        <f t="shared" si="5"/>
        <v/>
      </c>
      <c r="C54" s="380" t="s">
        <v>704</v>
      </c>
      <c r="D54" s="379"/>
      <c r="E54" s="381">
        <f t="shared" si="4"/>
        <v>1.103448275862069E-8</v>
      </c>
      <c r="F54" s="382">
        <f t="shared" ref="F54:F85" si="7">IF(ISERR(1/J54*(G54/1000)),"",1/J54*(G54/1000))</f>
        <v>1.1034482758620691E-2</v>
      </c>
      <c r="G54" s="379">
        <v>6.4</v>
      </c>
      <c r="H54" s="379">
        <v>1900</v>
      </c>
      <c r="I54" s="379">
        <v>1000</v>
      </c>
      <c r="J54" s="379">
        <v>0.57999999999999996</v>
      </c>
      <c r="K54" s="379"/>
      <c r="L54" s="379"/>
      <c r="M54" s="379"/>
      <c r="N54" s="379" t="s">
        <v>633</v>
      </c>
      <c r="O54" s="383">
        <f t="shared" ref="O54:O85" si="8">O53+1</f>
        <v>2</v>
      </c>
    </row>
    <row r="55" spans="1:15" ht="15">
      <c r="A55" s="378">
        <f t="shared" si="6"/>
        <v>3</v>
      </c>
      <c r="B55" s="384" t="str">
        <f t="shared" si="5"/>
        <v/>
      </c>
      <c r="C55" s="380" t="s">
        <v>705</v>
      </c>
      <c r="D55" s="379"/>
      <c r="E55" s="381">
        <f t="shared" si="4"/>
        <v>1.5026890224612469E-8</v>
      </c>
      <c r="F55" s="382">
        <f t="shared" si="7"/>
        <v>1.6379310344827588E-2</v>
      </c>
      <c r="G55" s="379">
        <v>9.5</v>
      </c>
      <c r="H55" s="379">
        <v>800</v>
      </c>
      <c r="I55" s="379">
        <v>1090</v>
      </c>
      <c r="J55" s="379">
        <v>0.57999999999999996</v>
      </c>
      <c r="K55" s="379"/>
      <c r="L55" s="379"/>
      <c r="M55" s="379"/>
      <c r="N55" s="379" t="s">
        <v>643</v>
      </c>
      <c r="O55" s="383">
        <f t="shared" si="8"/>
        <v>3</v>
      </c>
    </row>
    <row r="56" spans="1:15" ht="15">
      <c r="A56" s="378">
        <f t="shared" si="6"/>
        <v>4</v>
      </c>
      <c r="B56" s="384" t="str">
        <f t="shared" si="5"/>
        <v/>
      </c>
      <c r="C56" s="380" t="s">
        <v>706</v>
      </c>
      <c r="D56" s="379"/>
      <c r="E56" s="381">
        <f t="shared" si="4"/>
        <v>4.2708003796267011E-9</v>
      </c>
      <c r="F56" s="382">
        <f t="shared" si="7"/>
        <v>4.6551724137931039E-3</v>
      </c>
      <c r="G56" s="379">
        <v>2.7</v>
      </c>
      <c r="H56" s="379">
        <v>800</v>
      </c>
      <c r="I56" s="379">
        <v>1090</v>
      </c>
      <c r="J56" s="379">
        <v>0.57999999999999996</v>
      </c>
      <c r="K56" s="379"/>
      <c r="L56" s="379"/>
      <c r="M56" s="379"/>
      <c r="N56" s="379" t="s">
        <v>643</v>
      </c>
      <c r="O56" s="383">
        <f t="shared" si="8"/>
        <v>4</v>
      </c>
    </row>
    <row r="57" spans="1:15" ht="15">
      <c r="A57" s="378">
        <f t="shared" si="6"/>
        <v>5</v>
      </c>
      <c r="B57" s="384" t="str">
        <f t="shared" si="5"/>
        <v/>
      </c>
      <c r="C57" s="380" t="s">
        <v>707</v>
      </c>
      <c r="D57" s="379"/>
      <c r="E57" s="381">
        <f t="shared" si="4"/>
        <v>9.332489718443533E-9</v>
      </c>
      <c r="F57" s="382">
        <f t="shared" si="7"/>
        <v>1.0172413793103451E-2</v>
      </c>
      <c r="G57" s="379">
        <v>5.9</v>
      </c>
      <c r="H57" s="379">
        <v>800</v>
      </c>
      <c r="I57" s="379">
        <v>1090</v>
      </c>
      <c r="J57" s="379">
        <v>0.57999999999999996</v>
      </c>
      <c r="K57" s="379"/>
      <c r="L57" s="379"/>
      <c r="M57" s="379"/>
      <c r="N57" s="379" t="s">
        <v>643</v>
      </c>
      <c r="O57" s="383">
        <f t="shared" si="8"/>
        <v>5</v>
      </c>
    </row>
    <row r="58" spans="1:15" ht="15">
      <c r="A58" s="378">
        <f t="shared" si="6"/>
        <v>6</v>
      </c>
      <c r="B58" s="384" t="str">
        <f t="shared" si="5"/>
        <v/>
      </c>
      <c r="C58" s="380" t="s">
        <v>708</v>
      </c>
      <c r="D58" s="379"/>
      <c r="E58" s="381">
        <f t="shared" si="4"/>
        <v>4.4077134986225899E-8</v>
      </c>
      <c r="F58" s="382">
        <f t="shared" si="7"/>
        <v>5.3333333333333337E-2</v>
      </c>
      <c r="G58" s="379">
        <v>6.4</v>
      </c>
      <c r="H58" s="379">
        <v>540</v>
      </c>
      <c r="I58" s="379">
        <v>1210</v>
      </c>
      <c r="J58" s="379">
        <v>0.12</v>
      </c>
      <c r="K58" s="379"/>
      <c r="L58" s="379"/>
      <c r="M58" s="379"/>
      <c r="N58" s="379" t="s">
        <v>643</v>
      </c>
      <c r="O58" s="383">
        <f t="shared" si="8"/>
        <v>6</v>
      </c>
    </row>
    <row r="59" spans="1:15" ht="15">
      <c r="A59" s="378">
        <f t="shared" si="6"/>
        <v>7</v>
      </c>
      <c r="B59" s="384" t="str">
        <f t="shared" si="5"/>
        <v/>
      </c>
      <c r="C59" s="380" t="s">
        <v>709</v>
      </c>
      <c r="D59" s="379"/>
      <c r="E59" s="381">
        <f t="shared" si="4"/>
        <v>6.542699724517907E-8</v>
      </c>
      <c r="F59" s="382">
        <f t="shared" si="7"/>
        <v>7.9166666666666677E-2</v>
      </c>
      <c r="G59" s="379">
        <v>9.5</v>
      </c>
      <c r="H59" s="379">
        <v>540</v>
      </c>
      <c r="I59" s="379">
        <v>1210</v>
      </c>
      <c r="J59" s="379">
        <v>0.12</v>
      </c>
      <c r="K59" s="379"/>
      <c r="L59" s="379"/>
      <c r="M59" s="379"/>
      <c r="N59" s="379" t="s">
        <v>633</v>
      </c>
      <c r="O59" s="383">
        <f t="shared" si="8"/>
        <v>7</v>
      </c>
    </row>
    <row r="60" spans="1:15" ht="15">
      <c r="A60" s="378">
        <f t="shared" si="6"/>
        <v>8</v>
      </c>
      <c r="B60" s="384" t="str">
        <f t="shared" si="5"/>
        <v/>
      </c>
      <c r="C60" s="380" t="s">
        <v>710</v>
      </c>
      <c r="D60" s="379"/>
      <c r="E60" s="381">
        <f t="shared" si="4"/>
        <v>8.7465564738292013E-8</v>
      </c>
      <c r="F60" s="382">
        <f t="shared" si="7"/>
        <v>0.10583333333333333</v>
      </c>
      <c r="G60" s="379">
        <v>12.7</v>
      </c>
      <c r="H60" s="379">
        <v>540</v>
      </c>
      <c r="I60" s="379">
        <v>1210</v>
      </c>
      <c r="J60" s="379">
        <v>0.12</v>
      </c>
      <c r="K60" s="379"/>
      <c r="L60" s="379"/>
      <c r="M60" s="379"/>
      <c r="N60" s="379" t="s">
        <v>633</v>
      </c>
      <c r="O60" s="383">
        <f t="shared" si="8"/>
        <v>8</v>
      </c>
    </row>
    <row r="61" spans="1:15" ht="15">
      <c r="A61" s="378">
        <f t="shared" si="6"/>
        <v>9</v>
      </c>
      <c r="B61" s="384" t="str">
        <f t="shared" si="5"/>
        <v/>
      </c>
      <c r="C61" s="380" t="s">
        <v>711</v>
      </c>
      <c r="D61" s="379"/>
      <c r="E61" s="381">
        <f t="shared" si="4"/>
        <v>1.0950413223140496E-7</v>
      </c>
      <c r="F61" s="382">
        <f t="shared" si="7"/>
        <v>0.13250000000000001</v>
      </c>
      <c r="G61" s="379">
        <v>15.9</v>
      </c>
      <c r="H61" s="379">
        <v>540</v>
      </c>
      <c r="I61" s="379">
        <v>1210</v>
      </c>
      <c r="J61" s="379">
        <v>0.12</v>
      </c>
      <c r="K61" s="379"/>
      <c r="L61" s="379"/>
      <c r="M61" s="379"/>
      <c r="N61" s="379" t="s">
        <v>633</v>
      </c>
      <c r="O61" s="383">
        <f t="shared" si="8"/>
        <v>9</v>
      </c>
    </row>
    <row r="62" spans="1:15" ht="15">
      <c r="A62" s="378">
        <f t="shared" si="6"/>
        <v>10</v>
      </c>
      <c r="B62" s="384" t="str">
        <f t="shared" ref="B62:B93" si="9">"AF"&amp;(A62)</f>
        <v>AF10</v>
      </c>
      <c r="C62" s="380" t="s">
        <v>712</v>
      </c>
      <c r="D62" s="379"/>
      <c r="E62" s="381">
        <f t="shared" si="4"/>
        <v>1.3085399449035814E-7</v>
      </c>
      <c r="F62" s="382">
        <f t="shared" si="7"/>
        <v>0.15833333333333335</v>
      </c>
      <c r="G62" s="379">
        <v>19</v>
      </c>
      <c r="H62" s="379">
        <v>540</v>
      </c>
      <c r="I62" s="379">
        <v>1210</v>
      </c>
      <c r="J62" s="379">
        <v>0.12</v>
      </c>
      <c r="K62" s="379"/>
      <c r="L62" s="379"/>
      <c r="M62" s="379"/>
      <c r="N62" s="379" t="s">
        <v>633</v>
      </c>
      <c r="O62" s="383">
        <f t="shared" si="8"/>
        <v>10</v>
      </c>
    </row>
    <row r="63" spans="1:15" ht="15">
      <c r="A63" s="378">
        <f t="shared" si="6"/>
        <v>11</v>
      </c>
      <c r="B63" s="384" t="str">
        <f t="shared" si="9"/>
        <v>AF11</v>
      </c>
      <c r="C63" s="380" t="s">
        <v>713</v>
      </c>
      <c r="D63" s="379"/>
      <c r="E63" s="381">
        <f t="shared" si="4"/>
        <v>1.7762237762237762E-7</v>
      </c>
      <c r="F63" s="382">
        <f t="shared" si="7"/>
        <v>0.23090909090909092</v>
      </c>
      <c r="G63" s="379">
        <v>12.7</v>
      </c>
      <c r="H63" s="379">
        <v>290</v>
      </c>
      <c r="I63" s="379">
        <v>1300</v>
      </c>
      <c r="J63" s="379">
        <v>5.5E-2</v>
      </c>
      <c r="K63" s="379"/>
      <c r="L63" s="379"/>
      <c r="M63" s="379"/>
      <c r="N63" s="379" t="s">
        <v>633</v>
      </c>
      <c r="O63" s="383">
        <f t="shared" si="8"/>
        <v>11</v>
      </c>
    </row>
    <row r="64" spans="1:15" ht="15">
      <c r="A64" s="378">
        <f t="shared" si="6"/>
        <v>12</v>
      </c>
      <c r="B64" s="384" t="str">
        <f t="shared" si="9"/>
        <v>AF12</v>
      </c>
      <c r="C64" s="380" t="s">
        <v>714</v>
      </c>
      <c r="D64" s="379"/>
      <c r="E64" s="381">
        <f t="shared" si="4"/>
        <v>2.7692307692307693E-7</v>
      </c>
      <c r="F64" s="382">
        <f t="shared" si="7"/>
        <v>0.36000000000000004</v>
      </c>
      <c r="G64" s="379">
        <v>19.8</v>
      </c>
      <c r="H64" s="379">
        <v>290</v>
      </c>
      <c r="I64" s="379">
        <v>1300</v>
      </c>
      <c r="J64" s="379">
        <v>5.5E-2</v>
      </c>
      <c r="K64" s="379"/>
      <c r="L64" s="379"/>
      <c r="M64" s="379"/>
      <c r="N64" s="379" t="s">
        <v>633</v>
      </c>
      <c r="O64" s="383">
        <f t="shared" si="8"/>
        <v>12</v>
      </c>
    </row>
    <row r="65" spans="1:15" ht="15">
      <c r="A65" s="378">
        <f t="shared" si="6"/>
        <v>13</v>
      </c>
      <c r="B65" s="384" t="str">
        <f t="shared" si="9"/>
        <v>AF13</v>
      </c>
      <c r="C65" s="380" t="s">
        <v>715</v>
      </c>
      <c r="D65" s="379"/>
      <c r="E65" s="381">
        <f t="shared" si="4"/>
        <v>1.7139001349527662E-7</v>
      </c>
      <c r="F65" s="382">
        <f t="shared" si="7"/>
        <v>0.22280701754385962</v>
      </c>
      <c r="G65" s="379">
        <v>12.7</v>
      </c>
      <c r="H65" s="379">
        <v>350</v>
      </c>
      <c r="I65" s="379">
        <v>1300</v>
      </c>
      <c r="J65" s="379">
        <v>5.7000000000000002E-2</v>
      </c>
      <c r="K65" s="379"/>
      <c r="L65" s="379"/>
      <c r="M65" s="379"/>
      <c r="N65" s="379" t="s">
        <v>633</v>
      </c>
      <c r="O65" s="383">
        <f t="shared" si="8"/>
        <v>13</v>
      </c>
    </row>
    <row r="66" spans="1:15" ht="15">
      <c r="A66" s="378">
        <f t="shared" si="6"/>
        <v>14</v>
      </c>
      <c r="B66" s="384" t="str">
        <f t="shared" si="9"/>
        <v>AF14</v>
      </c>
      <c r="C66" s="380" t="s">
        <v>716</v>
      </c>
      <c r="D66" s="379"/>
      <c r="E66" s="381">
        <f t="shared" si="4"/>
        <v>1.7139001349527662E-7</v>
      </c>
      <c r="F66" s="382">
        <f t="shared" si="7"/>
        <v>0.22280701754385962</v>
      </c>
      <c r="G66" s="379">
        <v>12.7</v>
      </c>
      <c r="H66" s="379">
        <v>400</v>
      </c>
      <c r="I66" s="379">
        <v>1300</v>
      </c>
      <c r="J66" s="379">
        <v>5.7000000000000002E-2</v>
      </c>
      <c r="K66" s="379"/>
      <c r="L66" s="379"/>
      <c r="M66" s="379"/>
      <c r="N66" s="379" t="s">
        <v>633</v>
      </c>
      <c r="O66" s="383">
        <f t="shared" si="8"/>
        <v>14</v>
      </c>
    </row>
    <row r="67" spans="1:15" ht="15">
      <c r="A67" s="378">
        <f t="shared" si="6"/>
        <v>15</v>
      </c>
      <c r="B67" s="384" t="str">
        <f t="shared" si="9"/>
        <v>AF15</v>
      </c>
      <c r="C67" s="380" t="s">
        <v>717</v>
      </c>
      <c r="D67" s="379"/>
      <c r="E67" s="381">
        <f t="shared" si="4"/>
        <v>1.1599511599511598E-7</v>
      </c>
      <c r="F67" s="382">
        <f t="shared" si="7"/>
        <v>0.15079365079365079</v>
      </c>
      <c r="G67" s="379">
        <v>9.5</v>
      </c>
      <c r="H67" s="379">
        <v>290</v>
      </c>
      <c r="I67" s="379">
        <v>1300</v>
      </c>
      <c r="J67" s="379">
        <v>6.3E-2</v>
      </c>
      <c r="K67" s="379"/>
      <c r="L67" s="379"/>
      <c r="M67" s="379"/>
      <c r="N67" s="379" t="s">
        <v>633</v>
      </c>
      <c r="O67" s="383">
        <f t="shared" si="8"/>
        <v>15</v>
      </c>
    </row>
    <row r="68" spans="1:15" ht="15">
      <c r="A68" s="378">
        <f t="shared" si="6"/>
        <v>16</v>
      </c>
      <c r="B68" s="384" t="str">
        <f t="shared" si="9"/>
        <v>AF16</v>
      </c>
      <c r="C68" s="380" t="s">
        <v>717</v>
      </c>
      <c r="D68" s="379"/>
      <c r="E68" s="381">
        <f t="shared" si="4"/>
        <v>1.1599511599511598E-7</v>
      </c>
      <c r="F68" s="382">
        <f t="shared" si="7"/>
        <v>0.15079365079365079</v>
      </c>
      <c r="G68" s="379">
        <v>9.5</v>
      </c>
      <c r="H68" s="379">
        <v>290</v>
      </c>
      <c r="I68" s="379">
        <v>1300</v>
      </c>
      <c r="J68" s="379">
        <v>6.3E-2</v>
      </c>
      <c r="K68" s="379"/>
      <c r="L68" s="379"/>
      <c r="M68" s="379"/>
      <c r="N68" s="379" t="s">
        <v>633</v>
      </c>
      <c r="O68" s="383">
        <f t="shared" si="8"/>
        <v>16</v>
      </c>
    </row>
    <row r="69" spans="1:15" ht="15">
      <c r="A69" s="378">
        <f t="shared" si="6"/>
        <v>17</v>
      </c>
      <c r="B69" s="384" t="str">
        <f t="shared" si="9"/>
        <v>AF17</v>
      </c>
      <c r="C69" s="380" t="s">
        <v>718</v>
      </c>
      <c r="D69" s="379"/>
      <c r="E69" s="381">
        <f t="shared" si="4"/>
        <v>9.6459096459096484E-8</v>
      </c>
      <c r="F69" s="382">
        <f t="shared" si="7"/>
        <v>0.12539682539682542</v>
      </c>
      <c r="G69" s="379">
        <v>7.9</v>
      </c>
      <c r="H69" s="379">
        <v>290</v>
      </c>
      <c r="I69" s="379">
        <v>1300</v>
      </c>
      <c r="J69" s="379">
        <v>6.3E-2</v>
      </c>
      <c r="K69" s="379"/>
      <c r="L69" s="379"/>
      <c r="M69" s="379"/>
      <c r="N69" s="379" t="s">
        <v>633</v>
      </c>
      <c r="O69" s="383">
        <f t="shared" si="8"/>
        <v>17</v>
      </c>
    </row>
    <row r="70" spans="1:15" ht="15">
      <c r="A70" s="378">
        <f t="shared" si="6"/>
        <v>18</v>
      </c>
      <c r="B70" s="384" t="str">
        <f t="shared" si="9"/>
        <v>AF18</v>
      </c>
      <c r="C70" s="380" t="s">
        <v>719</v>
      </c>
      <c r="D70" s="379"/>
      <c r="E70" s="381">
        <f t="shared" si="4"/>
        <v>1.5998992189468379E-7</v>
      </c>
      <c r="F70" s="382">
        <f t="shared" si="7"/>
        <v>0.20158730158730159</v>
      </c>
      <c r="G70" s="379">
        <v>12.7</v>
      </c>
      <c r="H70" s="379">
        <v>240</v>
      </c>
      <c r="I70" s="379">
        <v>1260</v>
      </c>
      <c r="J70" s="379">
        <v>6.3E-2</v>
      </c>
      <c r="K70" s="379"/>
      <c r="L70" s="379"/>
      <c r="M70" s="379"/>
      <c r="N70" s="379" t="s">
        <v>633</v>
      </c>
      <c r="O70" s="383">
        <f t="shared" si="8"/>
        <v>18</v>
      </c>
    </row>
    <row r="71" spans="1:15" ht="15">
      <c r="A71" s="378">
        <f t="shared" si="6"/>
        <v>19</v>
      </c>
      <c r="B71" s="384" t="str">
        <f t="shared" si="9"/>
        <v>AF19</v>
      </c>
      <c r="C71" s="380" t="s">
        <v>720</v>
      </c>
      <c r="D71" s="379"/>
      <c r="E71" s="381">
        <f t="shared" si="4"/>
        <v>3.7763901278620275E-7</v>
      </c>
      <c r="F71" s="382">
        <f t="shared" si="7"/>
        <v>0.22280701754385962</v>
      </c>
      <c r="G71" s="379">
        <v>12.7</v>
      </c>
      <c r="H71" s="379">
        <v>290</v>
      </c>
      <c r="I71" s="379">
        <v>590</v>
      </c>
      <c r="J71" s="379">
        <v>5.7000000000000002E-2</v>
      </c>
      <c r="K71" s="379"/>
      <c r="L71" s="379"/>
      <c r="M71" s="379"/>
      <c r="N71" s="379" t="s">
        <v>643</v>
      </c>
      <c r="O71" s="383">
        <f t="shared" si="8"/>
        <v>19</v>
      </c>
    </row>
    <row r="72" spans="1:15" ht="15">
      <c r="A72" s="378">
        <f t="shared" si="6"/>
        <v>20</v>
      </c>
      <c r="B72" s="384" t="str">
        <f t="shared" si="9"/>
        <v>AF20</v>
      </c>
      <c r="C72" s="380" t="s">
        <v>721</v>
      </c>
      <c r="D72" s="379"/>
      <c r="E72" s="381">
        <f t="shared" ref="E72:E103" si="10">1/J72*(G72/1000)</f>
        <v>0.33333333333333326</v>
      </c>
      <c r="F72" s="382">
        <f t="shared" si="7"/>
        <v>0.33333333333333326</v>
      </c>
      <c r="G72" s="379">
        <v>19</v>
      </c>
      <c r="H72" s="379">
        <v>290</v>
      </c>
      <c r="I72" s="379">
        <v>590</v>
      </c>
      <c r="J72" s="379">
        <v>5.7000000000000002E-2</v>
      </c>
      <c r="K72" s="379"/>
      <c r="L72" s="379"/>
      <c r="M72" s="379"/>
      <c r="N72" s="379" t="s">
        <v>643</v>
      </c>
      <c r="O72" s="383">
        <f t="shared" si="8"/>
        <v>20</v>
      </c>
    </row>
    <row r="73" spans="1:15" ht="15">
      <c r="A73" s="378">
        <f t="shared" si="6"/>
        <v>21</v>
      </c>
      <c r="B73" s="384" t="str">
        <f t="shared" si="9"/>
        <v>AF21</v>
      </c>
      <c r="C73" s="380" t="s">
        <v>722</v>
      </c>
      <c r="D73" s="379"/>
      <c r="E73" s="381">
        <f t="shared" si="10"/>
        <v>4.4444444444444446E-2</v>
      </c>
      <c r="F73" s="382">
        <f t="shared" si="7"/>
        <v>4.4444444444444446E-2</v>
      </c>
      <c r="G73" s="379">
        <v>3.2</v>
      </c>
      <c r="H73" s="379">
        <v>480</v>
      </c>
      <c r="I73" s="379">
        <v>1380</v>
      </c>
      <c r="J73" s="379">
        <v>7.1999999999999995E-2</v>
      </c>
      <c r="K73" s="379"/>
      <c r="L73" s="379"/>
      <c r="M73" s="379"/>
      <c r="N73" s="379" t="s">
        <v>643</v>
      </c>
      <c r="O73" s="383">
        <f t="shared" si="8"/>
        <v>21</v>
      </c>
    </row>
    <row r="74" spans="1:15" ht="15">
      <c r="A74" s="378">
        <f t="shared" si="6"/>
        <v>22</v>
      </c>
      <c r="B74" s="384" t="str">
        <f t="shared" si="9"/>
        <v>AF22</v>
      </c>
      <c r="C74" s="380" t="s">
        <v>723</v>
      </c>
      <c r="D74" s="379"/>
      <c r="E74" s="381">
        <f t="shared" si="10"/>
        <v>4.4444444444444446E-2</v>
      </c>
      <c r="F74" s="382">
        <f t="shared" si="7"/>
        <v>4.4444444444444446E-2</v>
      </c>
      <c r="G74" s="379">
        <v>3.2</v>
      </c>
      <c r="H74" s="379">
        <v>480</v>
      </c>
      <c r="I74" s="379">
        <v>1170</v>
      </c>
      <c r="J74" s="379">
        <v>7.1999999999999995E-2</v>
      </c>
      <c r="K74" s="379"/>
      <c r="L74" s="379"/>
      <c r="M74" s="379"/>
      <c r="N74" s="379" t="s">
        <v>643</v>
      </c>
      <c r="O74" s="383">
        <f t="shared" si="8"/>
        <v>22</v>
      </c>
    </row>
    <row r="75" spans="1:15" ht="15">
      <c r="A75" s="378">
        <f t="shared" si="6"/>
        <v>23</v>
      </c>
      <c r="B75" s="384" t="str">
        <f t="shared" si="9"/>
        <v>AF23</v>
      </c>
      <c r="C75" s="380" t="s">
        <v>724</v>
      </c>
      <c r="D75" s="379"/>
      <c r="E75" s="381">
        <f t="shared" si="10"/>
        <v>0.18095238095238095</v>
      </c>
      <c r="F75" s="382">
        <f t="shared" si="7"/>
        <v>0.18095238095238095</v>
      </c>
      <c r="G75" s="379">
        <v>19</v>
      </c>
      <c r="H75" s="379">
        <v>800</v>
      </c>
      <c r="I75" s="379">
        <v>1300</v>
      </c>
      <c r="J75" s="379">
        <v>0.105</v>
      </c>
      <c r="K75" s="379"/>
      <c r="L75" s="379"/>
      <c r="M75" s="379"/>
      <c r="N75" s="379" t="s">
        <v>633</v>
      </c>
      <c r="O75" s="383">
        <f t="shared" si="8"/>
        <v>23</v>
      </c>
    </row>
    <row r="76" spans="1:15" ht="15">
      <c r="A76" s="378">
        <f t="shared" si="6"/>
        <v>24</v>
      </c>
      <c r="B76" s="384" t="str">
        <f t="shared" si="9"/>
        <v>AF24</v>
      </c>
      <c r="C76" s="380" t="s">
        <v>725</v>
      </c>
      <c r="D76" s="379"/>
      <c r="E76" s="381">
        <f t="shared" si="10"/>
        <v>2.3170731707317073E-2</v>
      </c>
      <c r="F76" s="382">
        <f t="shared" si="7"/>
        <v>2.3170731707317073E-2</v>
      </c>
      <c r="G76" s="379">
        <v>19</v>
      </c>
      <c r="H76" s="379">
        <v>880</v>
      </c>
      <c r="I76" s="379">
        <v>1340</v>
      </c>
      <c r="J76" s="379">
        <v>0.82</v>
      </c>
      <c r="K76" s="379"/>
      <c r="L76" s="379"/>
      <c r="M76" s="379"/>
      <c r="N76" s="379" t="s">
        <v>633</v>
      </c>
      <c r="O76" s="383">
        <f t="shared" si="8"/>
        <v>24</v>
      </c>
    </row>
    <row r="77" spans="1:15" ht="15">
      <c r="A77" s="378">
        <f t="shared" si="6"/>
        <v>25</v>
      </c>
      <c r="B77" s="384" t="str">
        <f t="shared" si="9"/>
        <v>AF25</v>
      </c>
      <c r="C77" s="380" t="s">
        <v>726</v>
      </c>
      <c r="D77" s="379"/>
      <c r="E77" s="381">
        <f t="shared" si="10"/>
        <v>0.13194444444444445</v>
      </c>
      <c r="F77" s="382">
        <f t="shared" si="7"/>
        <v>0.13194444444444445</v>
      </c>
      <c r="G77" s="379">
        <v>19</v>
      </c>
      <c r="H77" s="379">
        <v>1010</v>
      </c>
      <c r="I77" s="379">
        <v>1340</v>
      </c>
      <c r="J77" s="379">
        <v>0.14399999999999999</v>
      </c>
      <c r="K77" s="379"/>
      <c r="L77" s="379"/>
      <c r="M77" s="379"/>
      <c r="N77" s="379" t="s">
        <v>633</v>
      </c>
      <c r="O77" s="383">
        <f t="shared" si="8"/>
        <v>25</v>
      </c>
    </row>
    <row r="78" spans="1:15" ht="15">
      <c r="A78" s="378">
        <f t="shared" si="6"/>
        <v>26</v>
      </c>
      <c r="B78" s="384" t="str">
        <f t="shared" si="9"/>
        <v>AF26</v>
      </c>
      <c r="C78" s="380" t="s">
        <v>727</v>
      </c>
      <c r="D78" s="379"/>
      <c r="E78" s="381">
        <f t="shared" si="10"/>
        <v>0.18627450980392157</v>
      </c>
      <c r="F78" s="382">
        <f t="shared" si="7"/>
        <v>0.18627450980392157</v>
      </c>
      <c r="G78" s="379">
        <v>19</v>
      </c>
      <c r="H78" s="379">
        <v>590</v>
      </c>
      <c r="I78" s="379">
        <v>1300</v>
      </c>
      <c r="J78" s="379">
        <v>0.10199999999999999</v>
      </c>
      <c r="K78" s="379"/>
      <c r="L78" s="379"/>
      <c r="M78" s="379"/>
      <c r="N78" s="379" t="s">
        <v>643</v>
      </c>
      <c r="O78" s="383">
        <f t="shared" si="8"/>
        <v>26</v>
      </c>
    </row>
    <row r="79" spans="1:15" ht="15">
      <c r="A79" s="378">
        <f t="shared" si="6"/>
        <v>27</v>
      </c>
      <c r="B79" s="384" t="str">
        <f t="shared" si="9"/>
        <v>AF27</v>
      </c>
      <c r="C79" s="380" t="s">
        <v>728</v>
      </c>
      <c r="D79" s="379"/>
      <c r="E79" s="381">
        <f t="shared" si="10"/>
        <v>0.14074074074074072</v>
      </c>
      <c r="F79" s="382">
        <f t="shared" si="7"/>
        <v>0.14074074074074072</v>
      </c>
      <c r="G79" s="379">
        <v>19</v>
      </c>
      <c r="H79" s="379">
        <v>800</v>
      </c>
      <c r="I79" s="379">
        <v>1300</v>
      </c>
      <c r="J79" s="379">
        <v>0.13500000000000001</v>
      </c>
      <c r="K79" s="379"/>
      <c r="L79" s="379"/>
      <c r="M79" s="379"/>
      <c r="N79" s="379" t="s">
        <v>643</v>
      </c>
      <c r="O79" s="383">
        <f t="shared" si="8"/>
        <v>27</v>
      </c>
    </row>
    <row r="80" spans="1:15" ht="15">
      <c r="A80" s="378">
        <f t="shared" si="6"/>
        <v>28</v>
      </c>
      <c r="B80" s="384" t="str">
        <f t="shared" si="9"/>
        <v>AF28</v>
      </c>
      <c r="C80" s="380" t="s">
        <v>729</v>
      </c>
      <c r="D80" s="379"/>
      <c r="E80" s="381">
        <f t="shared" si="10"/>
        <v>0.11176470588235293</v>
      </c>
      <c r="F80" s="382">
        <f t="shared" si="7"/>
        <v>0.11176470588235293</v>
      </c>
      <c r="G80" s="379">
        <v>19</v>
      </c>
      <c r="H80" s="379">
        <v>1000</v>
      </c>
      <c r="I80" s="379">
        <v>1300</v>
      </c>
      <c r="J80" s="379">
        <v>0.17</v>
      </c>
      <c r="K80" s="379"/>
      <c r="L80" s="379"/>
      <c r="M80" s="379"/>
      <c r="N80" s="379" t="s">
        <v>643</v>
      </c>
      <c r="O80" s="383">
        <f t="shared" si="8"/>
        <v>28</v>
      </c>
    </row>
    <row r="81" spans="1:15" ht="15">
      <c r="A81" s="378">
        <f t="shared" si="6"/>
        <v>29</v>
      </c>
      <c r="B81" s="384" t="str">
        <f t="shared" si="9"/>
        <v>AF29</v>
      </c>
      <c r="C81" s="380" t="s">
        <v>730</v>
      </c>
      <c r="D81" s="379"/>
      <c r="E81" s="381">
        <f t="shared" si="10"/>
        <v>5.1125401929260454E-2</v>
      </c>
      <c r="F81" s="382">
        <f t="shared" si="7"/>
        <v>5.1125401929260454E-2</v>
      </c>
      <c r="G81" s="379">
        <v>15.9</v>
      </c>
      <c r="H81" s="379">
        <v>640</v>
      </c>
      <c r="I81" s="379">
        <v>1210</v>
      </c>
      <c r="J81" s="379">
        <v>0.311</v>
      </c>
      <c r="K81" s="379"/>
      <c r="L81" s="379"/>
      <c r="M81" s="379"/>
      <c r="N81" s="379" t="s">
        <v>640</v>
      </c>
      <c r="O81" s="383">
        <f t="shared" si="8"/>
        <v>29</v>
      </c>
    </row>
    <row r="82" spans="1:15" ht="15">
      <c r="A82" s="378">
        <f t="shared" si="6"/>
        <v>30</v>
      </c>
      <c r="B82" s="384" t="str">
        <f t="shared" si="9"/>
        <v>AF30</v>
      </c>
      <c r="C82" s="380" t="s">
        <v>731</v>
      </c>
      <c r="D82" s="379"/>
      <c r="E82" s="381">
        <f t="shared" si="10"/>
        <v>0.2087912087912088</v>
      </c>
      <c r="F82" s="382">
        <f t="shared" si="7"/>
        <v>0.2087912087912088</v>
      </c>
      <c r="G82" s="379">
        <v>19</v>
      </c>
      <c r="H82" s="379">
        <v>590</v>
      </c>
      <c r="I82" s="379">
        <v>1300</v>
      </c>
      <c r="J82" s="379">
        <v>9.0999999999999998E-2</v>
      </c>
      <c r="K82" s="379"/>
      <c r="L82" s="379"/>
      <c r="M82" s="379"/>
      <c r="N82" s="379" t="s">
        <v>643</v>
      </c>
      <c r="O82" s="383">
        <f t="shared" si="8"/>
        <v>30</v>
      </c>
    </row>
    <row r="83" spans="1:15" ht="15">
      <c r="A83" s="378">
        <f t="shared" si="6"/>
        <v>31</v>
      </c>
      <c r="B83" s="384" t="str">
        <f t="shared" si="9"/>
        <v>AF31</v>
      </c>
      <c r="C83" s="380" t="s">
        <v>732</v>
      </c>
      <c r="D83" s="379"/>
      <c r="E83" s="381">
        <f t="shared" si="10"/>
        <v>0.5</v>
      </c>
      <c r="F83" s="382">
        <f t="shared" si="7"/>
        <v>0.5</v>
      </c>
      <c r="G83" s="379">
        <v>25</v>
      </c>
      <c r="H83" s="379">
        <v>136</v>
      </c>
      <c r="I83" s="379">
        <v>750</v>
      </c>
      <c r="J83" s="379">
        <v>0.05</v>
      </c>
      <c r="K83" s="379"/>
      <c r="L83" s="379"/>
      <c r="M83" s="379"/>
      <c r="N83" s="379" t="s">
        <v>640</v>
      </c>
      <c r="O83" s="383">
        <f t="shared" si="8"/>
        <v>31</v>
      </c>
    </row>
    <row r="84" spans="1:15" ht="15">
      <c r="A84" s="378">
        <f t="shared" si="6"/>
        <v>32</v>
      </c>
      <c r="B84" s="384" t="str">
        <f t="shared" si="9"/>
        <v>AF32</v>
      </c>
      <c r="C84" s="380" t="s">
        <v>733</v>
      </c>
      <c r="D84" s="379"/>
      <c r="E84" s="381">
        <f t="shared" si="10"/>
        <v>1</v>
      </c>
      <c r="F84" s="382">
        <f t="shared" si="7"/>
        <v>1</v>
      </c>
      <c r="G84" s="379">
        <v>50</v>
      </c>
      <c r="H84" s="379">
        <v>136</v>
      </c>
      <c r="I84" s="379">
        <v>750</v>
      </c>
      <c r="J84" s="379">
        <v>0.05</v>
      </c>
      <c r="K84" s="379"/>
      <c r="L84" s="379"/>
      <c r="M84" s="379"/>
      <c r="N84" s="379" t="s">
        <v>640</v>
      </c>
      <c r="O84" s="383">
        <f t="shared" si="8"/>
        <v>32</v>
      </c>
    </row>
    <row r="85" spans="1:15" ht="15">
      <c r="A85" s="378">
        <f t="shared" si="6"/>
        <v>33</v>
      </c>
      <c r="B85" s="384" t="str">
        <f t="shared" si="9"/>
        <v>AF33</v>
      </c>
      <c r="C85" s="380" t="s">
        <v>734</v>
      </c>
      <c r="D85" s="379"/>
      <c r="E85" s="381">
        <f t="shared" si="10"/>
        <v>1.5</v>
      </c>
      <c r="F85" s="382">
        <f t="shared" si="7"/>
        <v>1.5</v>
      </c>
      <c r="G85" s="379">
        <v>75</v>
      </c>
      <c r="H85" s="379">
        <v>136</v>
      </c>
      <c r="I85" s="379">
        <v>750</v>
      </c>
      <c r="J85" s="379">
        <v>0.05</v>
      </c>
      <c r="K85" s="379"/>
      <c r="L85" s="379"/>
      <c r="M85" s="379"/>
      <c r="N85" s="379" t="s">
        <v>640</v>
      </c>
      <c r="O85" s="383">
        <f t="shared" si="8"/>
        <v>33</v>
      </c>
    </row>
    <row r="86" spans="1:15" ht="15">
      <c r="A86" s="378">
        <f t="shared" ref="A86:A117" si="11">A85+1</f>
        <v>34</v>
      </c>
      <c r="B86" s="384" t="str">
        <f t="shared" si="9"/>
        <v>AF34</v>
      </c>
      <c r="C86" s="380" t="s">
        <v>735</v>
      </c>
      <c r="D86" s="379"/>
      <c r="E86" s="381">
        <f t="shared" si="10"/>
        <v>0.69444444444444453</v>
      </c>
      <c r="F86" s="382">
        <f t="shared" ref="F86:F117" si="12">F85+1</f>
        <v>2.5</v>
      </c>
      <c r="G86" s="379">
        <v>25</v>
      </c>
      <c r="H86" s="379">
        <v>64</v>
      </c>
      <c r="I86" s="379">
        <v>960</v>
      </c>
      <c r="J86" s="379">
        <v>3.5999999999999997E-2</v>
      </c>
      <c r="K86" s="379"/>
      <c r="L86" s="379"/>
      <c r="M86" s="379"/>
      <c r="N86" s="379" t="s">
        <v>640</v>
      </c>
      <c r="O86" s="383">
        <f t="shared" ref="O86:O117" si="13">O85+1</f>
        <v>34</v>
      </c>
    </row>
    <row r="87" spans="1:15" ht="15">
      <c r="A87" s="378">
        <f t="shared" si="11"/>
        <v>35</v>
      </c>
      <c r="B87" s="384" t="str">
        <f t="shared" si="9"/>
        <v>AF35</v>
      </c>
      <c r="C87" s="380" t="s">
        <v>736</v>
      </c>
      <c r="D87" s="379"/>
      <c r="E87" s="381">
        <f t="shared" si="10"/>
        <v>1.3888888888888891</v>
      </c>
      <c r="F87" s="382">
        <f t="shared" si="12"/>
        <v>3.5</v>
      </c>
      <c r="G87" s="379">
        <v>50</v>
      </c>
      <c r="H87" s="379">
        <v>140</v>
      </c>
      <c r="I87" s="379">
        <v>960</v>
      </c>
      <c r="J87" s="379">
        <v>3.5999999999999997E-2</v>
      </c>
      <c r="K87" s="379"/>
      <c r="L87" s="379"/>
      <c r="M87" s="379"/>
      <c r="N87" s="379" t="s">
        <v>640</v>
      </c>
      <c r="O87" s="383">
        <f t="shared" si="13"/>
        <v>35</v>
      </c>
    </row>
    <row r="88" spans="1:15" ht="15">
      <c r="A88" s="378">
        <f t="shared" si="11"/>
        <v>36</v>
      </c>
      <c r="B88" s="384" t="str">
        <f t="shared" si="9"/>
        <v>AF36</v>
      </c>
      <c r="C88" s="380" t="s">
        <v>737</v>
      </c>
      <c r="D88" s="379"/>
      <c r="E88" s="381">
        <f t="shared" si="10"/>
        <v>2.0833333333333335</v>
      </c>
      <c r="F88" s="382">
        <f t="shared" si="12"/>
        <v>4.5</v>
      </c>
      <c r="G88" s="379">
        <v>75</v>
      </c>
      <c r="H88" s="379">
        <v>140</v>
      </c>
      <c r="I88" s="379">
        <v>960</v>
      </c>
      <c r="J88" s="379">
        <v>3.5999999999999997E-2</v>
      </c>
      <c r="K88" s="379"/>
      <c r="L88" s="379"/>
      <c r="M88" s="379"/>
      <c r="N88" s="379" t="s">
        <v>640</v>
      </c>
      <c r="O88" s="383">
        <f t="shared" si="13"/>
        <v>36</v>
      </c>
    </row>
    <row r="89" spans="1:15" ht="15">
      <c r="A89" s="378">
        <f t="shared" si="11"/>
        <v>37</v>
      </c>
      <c r="B89" s="384" t="str">
        <f t="shared" si="9"/>
        <v>AF37</v>
      </c>
      <c r="C89" s="380" t="s">
        <v>738</v>
      </c>
      <c r="D89" s="379"/>
      <c r="E89" s="381">
        <f t="shared" si="10"/>
        <v>0.48076923076923078</v>
      </c>
      <c r="F89" s="382">
        <f t="shared" si="12"/>
        <v>5.5</v>
      </c>
      <c r="G89" s="379">
        <v>25</v>
      </c>
      <c r="H89" s="379">
        <v>16</v>
      </c>
      <c r="I89" s="379">
        <v>1260</v>
      </c>
      <c r="J89" s="379">
        <v>5.1999999999999998E-2</v>
      </c>
      <c r="K89" s="379"/>
      <c r="L89" s="379"/>
      <c r="M89" s="379"/>
      <c r="N89" s="379" t="s">
        <v>643</v>
      </c>
      <c r="O89" s="383">
        <f t="shared" si="13"/>
        <v>37</v>
      </c>
    </row>
    <row r="90" spans="1:15" ht="15">
      <c r="A90" s="378">
        <f t="shared" si="11"/>
        <v>38</v>
      </c>
      <c r="B90" s="384" t="str">
        <f t="shared" si="9"/>
        <v>AF38</v>
      </c>
      <c r="C90" s="380" t="s">
        <v>739</v>
      </c>
      <c r="D90" s="379"/>
      <c r="E90" s="381">
        <f t="shared" si="10"/>
        <v>0.78125</v>
      </c>
      <c r="F90" s="382">
        <f t="shared" si="12"/>
        <v>6.5</v>
      </c>
      <c r="G90" s="379">
        <v>25</v>
      </c>
      <c r="H90" s="379">
        <v>72</v>
      </c>
      <c r="I90" s="379">
        <v>1680</v>
      </c>
      <c r="J90" s="379">
        <v>3.2000000000000001E-2</v>
      </c>
      <c r="K90" s="379"/>
      <c r="L90" s="379"/>
      <c r="M90" s="379"/>
      <c r="N90" s="379" t="s">
        <v>640</v>
      </c>
      <c r="O90" s="383">
        <f t="shared" si="13"/>
        <v>38</v>
      </c>
    </row>
    <row r="91" spans="1:15" ht="27">
      <c r="A91" s="378">
        <f t="shared" si="11"/>
        <v>39</v>
      </c>
      <c r="B91" s="384" t="str">
        <f t="shared" si="9"/>
        <v>AF39</v>
      </c>
      <c r="C91" s="380" t="s">
        <v>740</v>
      </c>
      <c r="D91" s="379"/>
      <c r="E91" s="381">
        <f t="shared" si="10"/>
        <v>0.86206896551724133</v>
      </c>
      <c r="F91" s="382">
        <f t="shared" si="12"/>
        <v>7.5</v>
      </c>
      <c r="G91" s="379">
        <v>25</v>
      </c>
      <c r="H91" s="379">
        <v>29</v>
      </c>
      <c r="I91" s="379">
        <v>1210</v>
      </c>
      <c r="J91" s="379">
        <v>2.9000000000000001E-2</v>
      </c>
      <c r="K91" s="379"/>
      <c r="L91" s="379"/>
      <c r="M91" s="379"/>
      <c r="N91" s="379" t="s">
        <v>643</v>
      </c>
      <c r="O91" s="383">
        <f t="shared" si="13"/>
        <v>39</v>
      </c>
    </row>
    <row r="92" spans="1:15" ht="27">
      <c r="A92" s="378">
        <f t="shared" si="11"/>
        <v>40</v>
      </c>
      <c r="B92" s="384" t="str">
        <f t="shared" si="9"/>
        <v>AF40</v>
      </c>
      <c r="C92" s="380" t="s">
        <v>741</v>
      </c>
      <c r="D92" s="379"/>
      <c r="E92" s="381">
        <f t="shared" si="10"/>
        <v>0.86206896551724133</v>
      </c>
      <c r="F92" s="382">
        <f t="shared" si="12"/>
        <v>8.5</v>
      </c>
      <c r="G92" s="379">
        <v>25</v>
      </c>
      <c r="H92" s="379">
        <v>29</v>
      </c>
      <c r="I92" s="379">
        <v>1210</v>
      </c>
      <c r="J92" s="379">
        <v>2.9000000000000001E-2</v>
      </c>
      <c r="K92" s="379"/>
      <c r="L92" s="379"/>
      <c r="M92" s="379"/>
      <c r="N92" s="379" t="s">
        <v>643</v>
      </c>
      <c r="O92" s="383">
        <f t="shared" si="13"/>
        <v>40</v>
      </c>
    </row>
    <row r="93" spans="1:15" ht="15">
      <c r="A93" s="378">
        <f t="shared" si="11"/>
        <v>41</v>
      </c>
      <c r="B93" s="384" t="str">
        <f t="shared" si="9"/>
        <v>AF41</v>
      </c>
      <c r="C93" s="380" t="s">
        <v>742</v>
      </c>
      <c r="D93" s="379"/>
      <c r="E93" s="381">
        <f t="shared" si="10"/>
        <v>0.67567567567567577</v>
      </c>
      <c r="F93" s="382">
        <f t="shared" si="12"/>
        <v>9.5</v>
      </c>
      <c r="G93" s="379">
        <v>25</v>
      </c>
      <c r="H93" s="379">
        <v>16</v>
      </c>
      <c r="I93" s="379">
        <v>1210</v>
      </c>
      <c r="J93" s="379">
        <v>3.6999999999999998E-2</v>
      </c>
      <c r="K93" s="379"/>
      <c r="L93" s="379"/>
      <c r="M93" s="379"/>
      <c r="N93" s="379" t="s">
        <v>646</v>
      </c>
      <c r="O93" s="383">
        <f t="shared" si="13"/>
        <v>41</v>
      </c>
    </row>
    <row r="94" spans="1:15" ht="15">
      <c r="A94" s="378">
        <f t="shared" si="11"/>
        <v>42</v>
      </c>
      <c r="B94" s="384" t="str">
        <f t="shared" ref="B94:B125" si="14">"AF"&amp;(A94)</f>
        <v>AF42</v>
      </c>
      <c r="C94" s="380" t="s">
        <v>743</v>
      </c>
      <c r="D94" s="379"/>
      <c r="E94" s="381">
        <f t="shared" si="10"/>
        <v>0.69444444444444453</v>
      </c>
      <c r="F94" s="382">
        <f t="shared" si="12"/>
        <v>10.5</v>
      </c>
      <c r="G94" s="379">
        <v>25</v>
      </c>
      <c r="H94" s="379">
        <v>20</v>
      </c>
      <c r="I94" s="379">
        <v>1210</v>
      </c>
      <c r="J94" s="379">
        <v>3.5999999999999997E-2</v>
      </c>
      <c r="K94" s="379"/>
      <c r="L94" s="379"/>
      <c r="M94" s="379"/>
      <c r="N94" s="379" t="s">
        <v>646</v>
      </c>
      <c r="O94" s="383">
        <f t="shared" si="13"/>
        <v>42</v>
      </c>
    </row>
    <row r="95" spans="1:15" ht="15">
      <c r="A95" s="378">
        <f t="shared" si="11"/>
        <v>43</v>
      </c>
      <c r="B95" s="384" t="str">
        <f t="shared" si="14"/>
        <v>AF43</v>
      </c>
      <c r="C95" s="380" t="s">
        <v>744</v>
      </c>
      <c r="D95" s="379"/>
      <c r="E95" s="381">
        <f t="shared" si="10"/>
        <v>0.7142857142857143</v>
      </c>
      <c r="F95" s="382">
        <f t="shared" si="12"/>
        <v>11.5</v>
      </c>
      <c r="G95" s="379">
        <v>25</v>
      </c>
      <c r="H95" s="379">
        <v>24</v>
      </c>
      <c r="I95" s="379">
        <v>1210</v>
      </c>
      <c r="J95" s="379">
        <v>3.5000000000000003E-2</v>
      </c>
      <c r="K95" s="379"/>
      <c r="L95" s="379"/>
      <c r="M95" s="379"/>
      <c r="N95" s="379" t="s">
        <v>646</v>
      </c>
      <c r="O95" s="383">
        <f t="shared" si="13"/>
        <v>43</v>
      </c>
    </row>
    <row r="96" spans="1:15" ht="15">
      <c r="A96" s="378">
        <f t="shared" si="11"/>
        <v>44</v>
      </c>
      <c r="B96" s="384" t="str">
        <f t="shared" si="14"/>
        <v>AF44</v>
      </c>
      <c r="C96" s="380" t="s">
        <v>745</v>
      </c>
      <c r="D96" s="379"/>
      <c r="E96" s="381">
        <f t="shared" si="10"/>
        <v>0.7142857142857143</v>
      </c>
      <c r="F96" s="382">
        <f t="shared" si="12"/>
        <v>12.5</v>
      </c>
      <c r="G96" s="379">
        <v>25</v>
      </c>
      <c r="H96" s="379">
        <v>28</v>
      </c>
      <c r="I96" s="379">
        <v>1210</v>
      </c>
      <c r="J96" s="379">
        <v>3.5000000000000003E-2</v>
      </c>
      <c r="K96" s="379"/>
      <c r="L96" s="379"/>
      <c r="M96" s="379"/>
      <c r="N96" s="379" t="s">
        <v>646</v>
      </c>
      <c r="O96" s="383">
        <f t="shared" si="13"/>
        <v>44</v>
      </c>
    </row>
    <row r="97" spans="1:15" ht="15">
      <c r="A97" s="378">
        <f t="shared" si="11"/>
        <v>45</v>
      </c>
      <c r="B97" s="384" t="str">
        <f t="shared" si="14"/>
        <v>AF45</v>
      </c>
      <c r="C97" s="380" t="s">
        <v>746</v>
      </c>
      <c r="D97" s="379"/>
      <c r="E97" s="381">
        <f t="shared" si="10"/>
        <v>0.75757575757575757</v>
      </c>
      <c r="F97" s="382">
        <f t="shared" si="12"/>
        <v>13.5</v>
      </c>
      <c r="G97" s="379">
        <v>25</v>
      </c>
      <c r="H97" s="379">
        <v>32</v>
      </c>
      <c r="I97" s="379">
        <v>1210</v>
      </c>
      <c r="J97" s="379">
        <v>3.3000000000000002E-2</v>
      </c>
      <c r="K97" s="379"/>
      <c r="L97" s="379"/>
      <c r="M97" s="379"/>
      <c r="N97" s="379" t="s">
        <v>646</v>
      </c>
      <c r="O97" s="383">
        <f t="shared" si="13"/>
        <v>45</v>
      </c>
    </row>
    <row r="98" spans="1:15" ht="15">
      <c r="A98" s="378">
        <f t="shared" si="11"/>
        <v>46</v>
      </c>
      <c r="B98" s="384" t="str">
        <f t="shared" si="14"/>
        <v>AF46</v>
      </c>
      <c r="C98" s="380" t="s">
        <v>746</v>
      </c>
      <c r="D98" s="379"/>
      <c r="E98" s="381">
        <f t="shared" si="10"/>
        <v>0.75757575757575757</v>
      </c>
      <c r="F98" s="382">
        <f t="shared" si="12"/>
        <v>14.5</v>
      </c>
      <c r="G98" s="379">
        <v>25</v>
      </c>
      <c r="H98" s="379">
        <v>32</v>
      </c>
      <c r="I98" s="379">
        <v>1210</v>
      </c>
      <c r="J98" s="379">
        <v>3.3000000000000002E-2</v>
      </c>
      <c r="K98" s="379"/>
      <c r="L98" s="379"/>
      <c r="M98" s="379"/>
      <c r="N98" s="379" t="s">
        <v>646</v>
      </c>
      <c r="O98" s="383">
        <f t="shared" si="13"/>
        <v>46</v>
      </c>
    </row>
    <row r="99" spans="1:15" ht="15">
      <c r="A99" s="378">
        <f t="shared" si="11"/>
        <v>47</v>
      </c>
      <c r="B99" s="384" t="str">
        <f t="shared" si="14"/>
        <v>AF47</v>
      </c>
      <c r="C99" s="380" t="s">
        <v>747</v>
      </c>
      <c r="D99" s="379"/>
      <c r="E99" s="381">
        <f t="shared" si="10"/>
        <v>1.0204081632653061</v>
      </c>
      <c r="F99" s="382">
        <f t="shared" si="12"/>
        <v>15.5</v>
      </c>
      <c r="G99" s="379">
        <v>25</v>
      </c>
      <c r="H99" s="379">
        <v>24</v>
      </c>
      <c r="I99" s="379">
        <v>1590</v>
      </c>
      <c r="J99" s="379">
        <v>2.4500000000000001E-2</v>
      </c>
      <c r="K99" s="379"/>
      <c r="L99" s="379"/>
      <c r="M99" s="379"/>
      <c r="N99" s="379" t="s">
        <v>649</v>
      </c>
      <c r="O99" s="383">
        <f t="shared" si="13"/>
        <v>47</v>
      </c>
    </row>
    <row r="100" spans="1:15" ht="15">
      <c r="A100" s="378">
        <f t="shared" si="11"/>
        <v>48</v>
      </c>
      <c r="B100" s="384" t="str">
        <f t="shared" si="14"/>
        <v>AF48</v>
      </c>
      <c r="C100" s="380" t="s">
        <v>748</v>
      </c>
      <c r="D100" s="379"/>
      <c r="E100" s="381">
        <f t="shared" si="10"/>
        <v>1.0204081632653061</v>
      </c>
      <c r="F100" s="382">
        <f t="shared" si="12"/>
        <v>16.5</v>
      </c>
      <c r="G100" s="379">
        <v>25</v>
      </c>
      <c r="H100" s="379">
        <v>32</v>
      </c>
      <c r="I100" s="379">
        <v>920</v>
      </c>
      <c r="J100" s="379">
        <v>2.4500000000000001E-2</v>
      </c>
      <c r="K100" s="379"/>
      <c r="L100" s="379"/>
      <c r="M100" s="379"/>
      <c r="N100" s="379" t="s">
        <v>649</v>
      </c>
      <c r="O100" s="383">
        <f t="shared" si="13"/>
        <v>48</v>
      </c>
    </row>
    <row r="101" spans="1:15" ht="15">
      <c r="A101" s="378">
        <f t="shared" si="11"/>
        <v>49</v>
      </c>
      <c r="B101" s="384" t="str">
        <f t="shared" si="14"/>
        <v>AF49</v>
      </c>
      <c r="C101" s="380" t="s">
        <v>749</v>
      </c>
      <c r="D101" s="379"/>
      <c r="E101" s="381">
        <f t="shared" si="10"/>
        <v>1.25</v>
      </c>
      <c r="F101" s="382">
        <f t="shared" si="12"/>
        <v>17.5</v>
      </c>
      <c r="G101" s="379">
        <v>25</v>
      </c>
      <c r="H101" s="379">
        <v>32</v>
      </c>
      <c r="I101" s="379">
        <v>920</v>
      </c>
      <c r="J101" s="379">
        <v>0.02</v>
      </c>
      <c r="K101" s="379"/>
      <c r="L101" s="379"/>
      <c r="M101" s="379"/>
      <c r="N101" s="379" t="s">
        <v>649</v>
      </c>
      <c r="O101" s="383">
        <f t="shared" si="13"/>
        <v>49</v>
      </c>
    </row>
    <row r="102" spans="1:15" ht="15">
      <c r="A102" s="378">
        <f t="shared" si="11"/>
        <v>50</v>
      </c>
      <c r="B102" s="384" t="str">
        <f t="shared" si="14"/>
        <v>AF50</v>
      </c>
      <c r="C102" s="380" t="s">
        <v>750</v>
      </c>
      <c r="D102" s="379"/>
      <c r="E102" s="381">
        <f t="shared" si="10"/>
        <v>7.6119402985074622E-2</v>
      </c>
      <c r="F102" s="382">
        <f t="shared" si="12"/>
        <v>18.5</v>
      </c>
      <c r="G102" s="379">
        <v>102</v>
      </c>
      <c r="H102" s="379">
        <v>2400</v>
      </c>
      <c r="I102" s="379">
        <v>790</v>
      </c>
      <c r="J102" s="379">
        <v>1.34</v>
      </c>
      <c r="K102" s="379"/>
      <c r="L102" s="379"/>
      <c r="M102" s="379"/>
      <c r="N102" s="379" t="s">
        <v>640</v>
      </c>
      <c r="O102" s="383">
        <f t="shared" si="13"/>
        <v>50</v>
      </c>
    </row>
    <row r="103" spans="1:15" ht="15">
      <c r="A103" s="378">
        <f t="shared" si="11"/>
        <v>51</v>
      </c>
      <c r="B103" s="384" t="str">
        <f t="shared" si="14"/>
        <v>AF51</v>
      </c>
      <c r="C103" s="380" t="s">
        <v>751</v>
      </c>
      <c r="D103" s="379"/>
      <c r="E103" s="381">
        <f t="shared" si="10"/>
        <v>8.6075949367088594E-2</v>
      </c>
      <c r="F103" s="382">
        <f t="shared" si="12"/>
        <v>19.5</v>
      </c>
      <c r="G103" s="379">
        <v>102</v>
      </c>
      <c r="H103" s="379">
        <v>2240</v>
      </c>
      <c r="I103" s="379">
        <v>790</v>
      </c>
      <c r="J103" s="379">
        <v>1.1850000000000001</v>
      </c>
      <c r="K103" s="379"/>
      <c r="L103" s="379"/>
      <c r="M103" s="379"/>
      <c r="N103" s="379" t="s">
        <v>640</v>
      </c>
      <c r="O103" s="383">
        <f t="shared" si="13"/>
        <v>51</v>
      </c>
    </row>
    <row r="104" spans="1:15" ht="15">
      <c r="A104" s="378">
        <f t="shared" si="11"/>
        <v>52</v>
      </c>
      <c r="B104" s="384" t="str">
        <f t="shared" si="14"/>
        <v>AF52</v>
      </c>
      <c r="C104" s="380" t="s">
        <v>752</v>
      </c>
      <c r="D104" s="379"/>
      <c r="E104" s="381">
        <f t="shared" ref="E104:E135" si="15">1/J104*(G104/1000)</f>
        <v>9.9999999999999992E-2</v>
      </c>
      <c r="F104" s="382">
        <f t="shared" si="12"/>
        <v>20.5</v>
      </c>
      <c r="G104" s="379">
        <v>102</v>
      </c>
      <c r="H104" s="379">
        <v>2080</v>
      </c>
      <c r="I104" s="379">
        <v>790</v>
      </c>
      <c r="J104" s="379">
        <v>1.02</v>
      </c>
      <c r="K104" s="379"/>
      <c r="L104" s="379"/>
      <c r="M104" s="379"/>
      <c r="N104" s="379" t="s">
        <v>640</v>
      </c>
      <c r="O104" s="383">
        <f t="shared" si="13"/>
        <v>52</v>
      </c>
    </row>
    <row r="105" spans="1:15" ht="15">
      <c r="A105" s="378">
        <f t="shared" si="11"/>
        <v>53</v>
      </c>
      <c r="B105" s="384" t="str">
        <f t="shared" si="14"/>
        <v>AF53</v>
      </c>
      <c r="C105" s="380" t="s">
        <v>753</v>
      </c>
      <c r="D105" s="379"/>
      <c r="E105" s="381">
        <f t="shared" si="15"/>
        <v>0.11396648044692737</v>
      </c>
      <c r="F105" s="382">
        <f t="shared" si="12"/>
        <v>21.5</v>
      </c>
      <c r="G105" s="379">
        <v>102</v>
      </c>
      <c r="H105" s="379">
        <v>1920</v>
      </c>
      <c r="I105" s="379">
        <v>790</v>
      </c>
      <c r="J105" s="379">
        <v>0.89500000000000002</v>
      </c>
      <c r="K105" s="379"/>
      <c r="L105" s="379"/>
      <c r="M105" s="379"/>
      <c r="N105" s="379" t="s">
        <v>640</v>
      </c>
      <c r="O105" s="383">
        <f t="shared" si="13"/>
        <v>53</v>
      </c>
    </row>
    <row r="106" spans="1:15" ht="15">
      <c r="A106" s="378">
        <f t="shared" si="11"/>
        <v>54</v>
      </c>
      <c r="B106" s="384" t="str">
        <f t="shared" si="14"/>
        <v>AF54</v>
      </c>
      <c r="C106" s="380" t="s">
        <v>754</v>
      </c>
      <c r="D106" s="379"/>
      <c r="E106" s="381">
        <f t="shared" si="15"/>
        <v>0.13076923076923075</v>
      </c>
      <c r="F106" s="382">
        <f t="shared" si="12"/>
        <v>22.5</v>
      </c>
      <c r="G106" s="379">
        <v>102</v>
      </c>
      <c r="H106" s="379">
        <v>1760</v>
      </c>
      <c r="I106" s="379">
        <v>790</v>
      </c>
      <c r="J106" s="379">
        <v>0.78</v>
      </c>
      <c r="K106" s="379"/>
      <c r="L106" s="379"/>
      <c r="M106" s="379"/>
      <c r="N106" s="379" t="s">
        <v>640</v>
      </c>
      <c r="O106" s="383">
        <f t="shared" si="13"/>
        <v>54</v>
      </c>
    </row>
    <row r="107" spans="1:15" ht="15">
      <c r="A107" s="378">
        <f t="shared" si="11"/>
        <v>55</v>
      </c>
      <c r="B107" s="384" t="str">
        <f t="shared" si="14"/>
        <v>AF55</v>
      </c>
      <c r="C107" s="380" t="s">
        <v>755</v>
      </c>
      <c r="D107" s="379"/>
      <c r="E107" s="381">
        <f t="shared" si="15"/>
        <v>0.15111111111111108</v>
      </c>
      <c r="F107" s="382">
        <f t="shared" si="12"/>
        <v>23.5</v>
      </c>
      <c r="G107" s="379">
        <v>102</v>
      </c>
      <c r="H107" s="379">
        <v>1600</v>
      </c>
      <c r="I107" s="379">
        <v>790</v>
      </c>
      <c r="J107" s="379">
        <v>0.67500000000000004</v>
      </c>
      <c r="K107" s="379"/>
      <c r="L107" s="379"/>
      <c r="M107" s="379"/>
      <c r="N107" s="379" t="s">
        <v>640</v>
      </c>
      <c r="O107" s="383">
        <f t="shared" si="13"/>
        <v>55</v>
      </c>
    </row>
    <row r="108" spans="1:15" ht="15">
      <c r="A108" s="378">
        <f t="shared" si="11"/>
        <v>56</v>
      </c>
      <c r="B108" s="384" t="str">
        <f t="shared" si="14"/>
        <v>AF56</v>
      </c>
      <c r="C108" s="380" t="s">
        <v>756</v>
      </c>
      <c r="D108" s="379"/>
      <c r="E108" s="381">
        <f t="shared" si="15"/>
        <v>0.17894736842105263</v>
      </c>
      <c r="F108" s="382">
        <f t="shared" si="12"/>
        <v>24.5</v>
      </c>
      <c r="G108" s="379">
        <v>102</v>
      </c>
      <c r="H108" s="379">
        <v>1440</v>
      </c>
      <c r="I108" s="379">
        <v>790</v>
      </c>
      <c r="J108" s="379">
        <v>0.56999999999999995</v>
      </c>
      <c r="K108" s="379"/>
      <c r="L108" s="379"/>
      <c r="M108" s="379"/>
      <c r="N108" s="379" t="s">
        <v>640</v>
      </c>
      <c r="O108" s="383">
        <f t="shared" si="13"/>
        <v>56</v>
      </c>
    </row>
    <row r="109" spans="1:15" ht="15">
      <c r="A109" s="378">
        <f t="shared" si="11"/>
        <v>57</v>
      </c>
      <c r="B109" s="384" t="str">
        <f t="shared" si="14"/>
        <v>AF57</v>
      </c>
      <c r="C109" s="380" t="s">
        <v>757</v>
      </c>
      <c r="D109" s="379"/>
      <c r="E109" s="381">
        <f t="shared" si="15"/>
        <v>0.21249999999999999</v>
      </c>
      <c r="F109" s="382">
        <f t="shared" si="12"/>
        <v>25.5</v>
      </c>
      <c r="G109" s="379">
        <v>102</v>
      </c>
      <c r="H109" s="379">
        <v>1280</v>
      </c>
      <c r="I109" s="379">
        <v>790</v>
      </c>
      <c r="J109" s="379">
        <v>0.48</v>
      </c>
      <c r="K109" s="379"/>
      <c r="L109" s="379"/>
      <c r="M109" s="379"/>
      <c r="N109" s="379" t="s">
        <v>640</v>
      </c>
      <c r="O109" s="383">
        <f t="shared" si="13"/>
        <v>57</v>
      </c>
    </row>
    <row r="110" spans="1:15" ht="15">
      <c r="A110" s="378">
        <f t="shared" si="11"/>
        <v>58</v>
      </c>
      <c r="B110" s="384" t="str">
        <f t="shared" si="14"/>
        <v>AF58</v>
      </c>
      <c r="C110" s="380" t="s">
        <v>758</v>
      </c>
      <c r="D110" s="379"/>
      <c r="E110" s="381">
        <f t="shared" si="15"/>
        <v>0.25185185185185183</v>
      </c>
      <c r="F110" s="382">
        <f t="shared" si="12"/>
        <v>26.5</v>
      </c>
      <c r="G110" s="379">
        <v>102</v>
      </c>
      <c r="H110" s="379">
        <v>1120</v>
      </c>
      <c r="I110" s="379">
        <v>790</v>
      </c>
      <c r="J110" s="379">
        <v>0.40500000000000003</v>
      </c>
      <c r="K110" s="379"/>
      <c r="L110" s="379"/>
      <c r="M110" s="379"/>
      <c r="N110" s="379" t="s">
        <v>640</v>
      </c>
      <c r="O110" s="383">
        <f t="shared" si="13"/>
        <v>58</v>
      </c>
    </row>
    <row r="111" spans="1:15" ht="15">
      <c r="A111" s="378">
        <f t="shared" si="11"/>
        <v>59</v>
      </c>
      <c r="B111" s="384" t="str">
        <f t="shared" si="14"/>
        <v>AF59</v>
      </c>
      <c r="C111" s="380" t="s">
        <v>759</v>
      </c>
      <c r="D111" s="379"/>
      <c r="E111" s="381">
        <f t="shared" si="15"/>
        <v>1.2499999999999998E-3</v>
      </c>
      <c r="F111" s="382">
        <f t="shared" si="12"/>
        <v>27.5</v>
      </c>
      <c r="G111" s="379">
        <v>13</v>
      </c>
      <c r="H111" s="379">
        <v>2880</v>
      </c>
      <c r="I111" s="379">
        <v>790</v>
      </c>
      <c r="J111" s="379">
        <v>10.4</v>
      </c>
      <c r="K111" s="379"/>
      <c r="L111" s="379"/>
      <c r="M111" s="379"/>
      <c r="N111" s="379" t="s">
        <v>640</v>
      </c>
      <c r="O111" s="383">
        <f t="shared" si="13"/>
        <v>59</v>
      </c>
    </row>
    <row r="112" spans="1:15" ht="15">
      <c r="A112" s="378">
        <f t="shared" si="11"/>
        <v>60</v>
      </c>
      <c r="B112" s="384" t="str">
        <f t="shared" si="14"/>
        <v>AF60</v>
      </c>
      <c r="C112" s="380" t="s">
        <v>760</v>
      </c>
      <c r="D112" s="379"/>
      <c r="E112" s="381">
        <f t="shared" si="15"/>
        <v>2.096774193548387E-3</v>
      </c>
      <c r="F112" s="382">
        <f t="shared" si="12"/>
        <v>28.5</v>
      </c>
      <c r="G112" s="379">
        <v>13</v>
      </c>
      <c r="H112" s="379">
        <v>2560</v>
      </c>
      <c r="I112" s="379">
        <v>790</v>
      </c>
      <c r="J112" s="379">
        <v>6.2</v>
      </c>
      <c r="K112" s="379"/>
      <c r="L112" s="379"/>
      <c r="M112" s="379"/>
      <c r="N112" s="379" t="s">
        <v>640</v>
      </c>
      <c r="O112" s="383">
        <f t="shared" si="13"/>
        <v>60</v>
      </c>
    </row>
    <row r="113" spans="1:15" ht="15">
      <c r="A113" s="378">
        <f t="shared" si="11"/>
        <v>61</v>
      </c>
      <c r="B113" s="384" t="str">
        <f t="shared" si="14"/>
        <v>AF61</v>
      </c>
      <c r="C113" s="380" t="s">
        <v>761</v>
      </c>
      <c r="D113" s="379"/>
      <c r="E113" s="381">
        <f t="shared" si="15"/>
        <v>6.8421052631578941E-3</v>
      </c>
      <c r="F113" s="382">
        <f t="shared" si="12"/>
        <v>29.5</v>
      </c>
      <c r="G113" s="379">
        <v>13</v>
      </c>
      <c r="H113" s="379">
        <v>1920</v>
      </c>
      <c r="I113" s="379">
        <v>790</v>
      </c>
      <c r="J113" s="379">
        <v>1.9</v>
      </c>
      <c r="K113" s="379"/>
      <c r="L113" s="379"/>
      <c r="M113" s="379"/>
      <c r="N113" s="379" t="s">
        <v>640</v>
      </c>
      <c r="O113" s="383">
        <f t="shared" si="13"/>
        <v>61</v>
      </c>
    </row>
    <row r="114" spans="1:15" ht="15">
      <c r="A114" s="378">
        <f t="shared" si="11"/>
        <v>62</v>
      </c>
      <c r="B114" s="384" t="str">
        <f t="shared" si="14"/>
        <v>AF62</v>
      </c>
      <c r="C114" s="380" t="s">
        <v>762</v>
      </c>
      <c r="D114" s="379"/>
      <c r="E114" s="381">
        <f t="shared" si="15"/>
        <v>3.0232558139534882E-3</v>
      </c>
      <c r="F114" s="382">
        <f t="shared" si="12"/>
        <v>30.5</v>
      </c>
      <c r="G114" s="379">
        <v>13</v>
      </c>
      <c r="H114" s="379">
        <v>2880</v>
      </c>
      <c r="I114" s="379">
        <v>790</v>
      </c>
      <c r="J114" s="379">
        <v>4.3</v>
      </c>
      <c r="K114" s="379"/>
      <c r="L114" s="379"/>
      <c r="M114" s="379"/>
      <c r="N114" s="379" t="s">
        <v>640</v>
      </c>
      <c r="O114" s="383">
        <f t="shared" si="13"/>
        <v>62</v>
      </c>
    </row>
    <row r="115" spans="1:15" ht="15">
      <c r="A115" s="378">
        <f t="shared" si="11"/>
        <v>63</v>
      </c>
      <c r="B115" s="384" t="str">
        <f t="shared" si="14"/>
        <v>AF63</v>
      </c>
      <c r="C115" s="380" t="s">
        <v>763</v>
      </c>
      <c r="D115" s="379"/>
      <c r="E115" s="381">
        <f t="shared" si="15"/>
        <v>4.0625000000000001E-3</v>
      </c>
      <c r="F115" s="382">
        <f t="shared" si="12"/>
        <v>31.5</v>
      </c>
      <c r="G115" s="379">
        <v>13</v>
      </c>
      <c r="H115" s="379">
        <v>2560</v>
      </c>
      <c r="I115" s="379">
        <v>790</v>
      </c>
      <c r="J115" s="379">
        <v>3.2</v>
      </c>
      <c r="K115" s="379"/>
      <c r="L115" s="379"/>
      <c r="M115" s="379"/>
      <c r="N115" s="379" t="s">
        <v>640</v>
      </c>
      <c r="O115" s="383">
        <f t="shared" si="13"/>
        <v>63</v>
      </c>
    </row>
    <row r="116" spans="1:15" ht="15">
      <c r="A116" s="378">
        <f t="shared" si="11"/>
        <v>64</v>
      </c>
      <c r="B116" s="384" t="str">
        <f t="shared" si="14"/>
        <v>AF64</v>
      </c>
      <c r="C116" s="380" t="s">
        <v>764</v>
      </c>
      <c r="D116" s="379"/>
      <c r="E116" s="381">
        <f t="shared" si="15"/>
        <v>5.6521739130434784E-3</v>
      </c>
      <c r="F116" s="382">
        <f t="shared" si="12"/>
        <v>32.5</v>
      </c>
      <c r="G116" s="379">
        <v>13</v>
      </c>
      <c r="H116" s="379">
        <v>2240</v>
      </c>
      <c r="I116" s="379">
        <v>790</v>
      </c>
      <c r="J116" s="379">
        <v>2.2999999999999998</v>
      </c>
      <c r="K116" s="379"/>
      <c r="L116" s="379"/>
      <c r="M116" s="379"/>
      <c r="N116" s="379" t="s">
        <v>640</v>
      </c>
      <c r="O116" s="383">
        <f t="shared" si="13"/>
        <v>64</v>
      </c>
    </row>
    <row r="117" spans="1:15" ht="15">
      <c r="A117" s="378">
        <f t="shared" si="11"/>
        <v>65</v>
      </c>
      <c r="B117" s="384" t="str">
        <f t="shared" si="14"/>
        <v>AF65</v>
      </c>
      <c r="C117" s="380" t="s">
        <v>765</v>
      </c>
      <c r="D117" s="379"/>
      <c r="E117" s="381">
        <f t="shared" si="15"/>
        <v>8.1250000000000003E-3</v>
      </c>
      <c r="F117" s="382">
        <f t="shared" si="12"/>
        <v>33.5</v>
      </c>
      <c r="G117" s="379">
        <v>13</v>
      </c>
      <c r="H117" s="379">
        <v>1920</v>
      </c>
      <c r="I117" s="379">
        <v>790</v>
      </c>
      <c r="J117" s="379">
        <v>1.6</v>
      </c>
      <c r="K117" s="379"/>
      <c r="L117" s="379"/>
      <c r="M117" s="379"/>
      <c r="N117" s="379" t="s">
        <v>640</v>
      </c>
      <c r="O117" s="383">
        <f t="shared" si="13"/>
        <v>65</v>
      </c>
    </row>
    <row r="118" spans="1:15" ht="15">
      <c r="A118" s="378">
        <f t="shared" ref="A118:A149" si="16">A117+1</f>
        <v>66</v>
      </c>
      <c r="B118" s="384" t="str">
        <f t="shared" si="14"/>
        <v>AF66</v>
      </c>
      <c r="C118" s="380" t="s">
        <v>766</v>
      </c>
      <c r="D118" s="379"/>
      <c r="E118" s="381">
        <f t="shared" si="15"/>
        <v>1.1818181818181818E-2</v>
      </c>
      <c r="F118" s="382">
        <f t="shared" ref="F118:F149" si="17">F117+1</f>
        <v>34.5</v>
      </c>
      <c r="G118" s="379">
        <v>13</v>
      </c>
      <c r="H118" s="379">
        <v>1600</v>
      </c>
      <c r="I118" s="379">
        <v>790</v>
      </c>
      <c r="J118" s="379">
        <v>1.1000000000000001</v>
      </c>
      <c r="K118" s="379"/>
      <c r="L118" s="379"/>
      <c r="M118" s="379"/>
      <c r="N118" s="379" t="s">
        <v>640</v>
      </c>
      <c r="O118" s="383">
        <f t="shared" ref="O118:O149" si="18">O117+1</f>
        <v>66</v>
      </c>
    </row>
    <row r="119" spans="1:15" ht="15">
      <c r="A119" s="378">
        <f t="shared" si="16"/>
        <v>67</v>
      </c>
      <c r="B119" s="384" t="str">
        <f t="shared" si="14"/>
        <v>AF67</v>
      </c>
      <c r="C119" s="380" t="s">
        <v>767</v>
      </c>
      <c r="D119" s="379"/>
      <c r="E119" s="381">
        <f t="shared" si="15"/>
        <v>2.3720930232558137E-2</v>
      </c>
      <c r="F119" s="382">
        <f t="shared" si="17"/>
        <v>35.5</v>
      </c>
      <c r="G119" s="379">
        <v>51</v>
      </c>
      <c r="H119" s="379">
        <v>2400</v>
      </c>
      <c r="I119" s="379">
        <v>900</v>
      </c>
      <c r="J119" s="379">
        <v>2.15</v>
      </c>
      <c r="K119" s="379"/>
      <c r="L119" s="379"/>
      <c r="M119" s="379"/>
      <c r="N119" s="379" t="s">
        <v>640</v>
      </c>
      <c r="O119" s="383">
        <f t="shared" si="18"/>
        <v>67</v>
      </c>
    </row>
    <row r="120" spans="1:15" ht="15">
      <c r="A120" s="378">
        <f t="shared" si="16"/>
        <v>68</v>
      </c>
      <c r="B120" s="384" t="str">
        <f t="shared" si="14"/>
        <v>AF68</v>
      </c>
      <c r="C120" s="380" t="s">
        <v>768</v>
      </c>
      <c r="D120" s="379"/>
      <c r="E120" s="381">
        <f t="shared" si="15"/>
        <v>2.6153846153846156E-2</v>
      </c>
      <c r="F120" s="382">
        <f t="shared" si="17"/>
        <v>36.5</v>
      </c>
      <c r="G120" s="379">
        <v>51</v>
      </c>
      <c r="H120" s="379">
        <v>2240</v>
      </c>
      <c r="I120" s="379">
        <v>900</v>
      </c>
      <c r="J120" s="379">
        <v>1.95</v>
      </c>
      <c r="K120" s="379"/>
      <c r="L120" s="379"/>
      <c r="M120" s="379"/>
      <c r="N120" s="379" t="s">
        <v>640</v>
      </c>
      <c r="O120" s="383">
        <f t="shared" si="18"/>
        <v>68</v>
      </c>
    </row>
    <row r="121" spans="1:15" ht="15">
      <c r="A121" s="378">
        <f t="shared" si="16"/>
        <v>69</v>
      </c>
      <c r="B121" s="384" t="str">
        <f t="shared" si="14"/>
        <v>AF69</v>
      </c>
      <c r="C121" s="380" t="s">
        <v>769</v>
      </c>
      <c r="D121" s="379"/>
      <c r="E121" s="381">
        <f t="shared" si="15"/>
        <v>3.5172413793103451E-2</v>
      </c>
      <c r="F121" s="382">
        <f t="shared" si="17"/>
        <v>37.5</v>
      </c>
      <c r="G121" s="379">
        <v>51</v>
      </c>
      <c r="H121" s="379">
        <v>2080</v>
      </c>
      <c r="I121" s="379">
        <v>900</v>
      </c>
      <c r="J121" s="379">
        <v>1.45</v>
      </c>
      <c r="K121" s="379"/>
      <c r="L121" s="379"/>
      <c r="M121" s="379"/>
      <c r="N121" s="379" t="s">
        <v>640</v>
      </c>
      <c r="O121" s="383">
        <f t="shared" si="18"/>
        <v>69</v>
      </c>
    </row>
    <row r="122" spans="1:15" ht="15">
      <c r="A122" s="378">
        <f t="shared" si="16"/>
        <v>70</v>
      </c>
      <c r="B122" s="384" t="str">
        <f t="shared" si="14"/>
        <v>AF70</v>
      </c>
      <c r="C122" s="380" t="s">
        <v>770</v>
      </c>
      <c r="D122" s="379"/>
      <c r="E122" s="381">
        <f t="shared" si="15"/>
        <v>3.1875000000000001E-2</v>
      </c>
      <c r="F122" s="382">
        <f t="shared" si="17"/>
        <v>38.5</v>
      </c>
      <c r="G122" s="379">
        <v>51</v>
      </c>
      <c r="H122" s="379">
        <v>2240</v>
      </c>
      <c r="I122" s="379">
        <v>900</v>
      </c>
      <c r="J122" s="379">
        <v>1.6</v>
      </c>
      <c r="K122" s="379"/>
      <c r="L122" s="379"/>
      <c r="M122" s="379"/>
      <c r="N122" s="379" t="s">
        <v>640</v>
      </c>
      <c r="O122" s="383">
        <f t="shared" si="18"/>
        <v>70</v>
      </c>
    </row>
    <row r="123" spans="1:15" ht="15">
      <c r="A123" s="378">
        <f t="shared" si="16"/>
        <v>71</v>
      </c>
      <c r="B123" s="384" t="str">
        <f t="shared" si="14"/>
        <v>AF71</v>
      </c>
      <c r="C123" s="380" t="s">
        <v>771</v>
      </c>
      <c r="D123" s="379"/>
      <c r="E123" s="381">
        <f t="shared" si="15"/>
        <v>4.4736842105263158E-2</v>
      </c>
      <c r="F123" s="382">
        <f t="shared" si="17"/>
        <v>39.5</v>
      </c>
      <c r="G123" s="379">
        <v>51</v>
      </c>
      <c r="H123" s="379">
        <v>1920</v>
      </c>
      <c r="I123" s="379">
        <v>900</v>
      </c>
      <c r="J123" s="379">
        <v>1.1399999999999999</v>
      </c>
      <c r="K123" s="379"/>
      <c r="L123" s="379"/>
      <c r="M123" s="379"/>
      <c r="N123" s="379" t="s">
        <v>640</v>
      </c>
      <c r="O123" s="383">
        <f t="shared" si="18"/>
        <v>71</v>
      </c>
    </row>
    <row r="124" spans="1:15" ht="15">
      <c r="A124" s="378">
        <f t="shared" si="16"/>
        <v>72</v>
      </c>
      <c r="B124" s="384" t="str">
        <f t="shared" si="14"/>
        <v>AF72</v>
      </c>
      <c r="C124" s="380" t="s">
        <v>772</v>
      </c>
      <c r="D124" s="379"/>
      <c r="E124" s="381">
        <f t="shared" si="15"/>
        <v>6.4556962025316439E-2</v>
      </c>
      <c r="F124" s="382">
        <f t="shared" si="17"/>
        <v>40.5</v>
      </c>
      <c r="G124" s="379">
        <v>51</v>
      </c>
      <c r="H124" s="379">
        <v>1600</v>
      </c>
      <c r="I124" s="379">
        <v>900</v>
      </c>
      <c r="J124" s="379">
        <v>0.79</v>
      </c>
      <c r="K124" s="379"/>
      <c r="L124" s="379"/>
      <c r="M124" s="379"/>
      <c r="N124" s="379" t="s">
        <v>640</v>
      </c>
      <c r="O124" s="383">
        <f t="shared" si="18"/>
        <v>72</v>
      </c>
    </row>
    <row r="125" spans="1:15" ht="27">
      <c r="A125" s="378">
        <f t="shared" si="16"/>
        <v>73</v>
      </c>
      <c r="B125" s="384" t="str">
        <f t="shared" si="14"/>
        <v>AF73</v>
      </c>
      <c r="C125" s="380" t="s">
        <v>773</v>
      </c>
      <c r="D125" s="379"/>
      <c r="E125" s="381">
        <f t="shared" si="15"/>
        <v>0.21249999999999999</v>
      </c>
      <c r="F125" s="382">
        <f t="shared" si="17"/>
        <v>41.5</v>
      </c>
      <c r="G125" s="379">
        <v>51</v>
      </c>
      <c r="H125" s="379">
        <v>816</v>
      </c>
      <c r="I125" s="379">
        <v>880</v>
      </c>
      <c r="J125" s="379">
        <v>0.24</v>
      </c>
      <c r="K125" s="379"/>
      <c r="L125" s="379"/>
      <c r="M125" s="379"/>
      <c r="N125" s="379" t="s">
        <v>640</v>
      </c>
      <c r="O125" s="383">
        <f t="shared" si="18"/>
        <v>73</v>
      </c>
    </row>
    <row r="126" spans="1:15" ht="15">
      <c r="A126" s="378">
        <f t="shared" si="16"/>
        <v>74</v>
      </c>
      <c r="B126" s="384" t="str">
        <f t="shared" ref="B126:B157" si="19">"AF"&amp;(A126)</f>
        <v>AF74</v>
      </c>
      <c r="C126" s="380" t="s">
        <v>774</v>
      </c>
      <c r="D126" s="379"/>
      <c r="E126" s="381">
        <f t="shared" si="15"/>
        <v>3.6428571428571428E-2</v>
      </c>
      <c r="F126" s="382">
        <f t="shared" si="17"/>
        <v>42.5</v>
      </c>
      <c r="G126" s="379">
        <v>51</v>
      </c>
      <c r="H126" s="379">
        <v>1920</v>
      </c>
      <c r="I126" s="379">
        <v>900</v>
      </c>
      <c r="J126" s="379">
        <v>1.4</v>
      </c>
      <c r="K126" s="379"/>
      <c r="L126" s="379"/>
      <c r="M126" s="379"/>
      <c r="N126" s="379" t="s">
        <v>640</v>
      </c>
      <c r="O126" s="383">
        <f t="shared" si="18"/>
        <v>74</v>
      </c>
    </row>
    <row r="127" spans="1:15" ht="15">
      <c r="A127" s="378">
        <f t="shared" si="16"/>
        <v>75</v>
      </c>
      <c r="B127" s="384" t="str">
        <f t="shared" si="19"/>
        <v>AF75</v>
      </c>
      <c r="C127" s="380" t="s">
        <v>775</v>
      </c>
      <c r="D127" s="379"/>
      <c r="E127" s="381">
        <f t="shared" si="15"/>
        <v>5.2577319587628867E-2</v>
      </c>
      <c r="F127" s="382">
        <f t="shared" si="17"/>
        <v>43.5</v>
      </c>
      <c r="G127" s="379">
        <v>51</v>
      </c>
      <c r="H127" s="379">
        <v>1600</v>
      </c>
      <c r="I127" s="379">
        <v>900</v>
      </c>
      <c r="J127" s="379">
        <v>0.97</v>
      </c>
      <c r="K127" s="379"/>
      <c r="L127" s="379"/>
      <c r="M127" s="379"/>
      <c r="N127" s="379" t="s">
        <v>640</v>
      </c>
      <c r="O127" s="383">
        <f t="shared" si="18"/>
        <v>75</v>
      </c>
    </row>
    <row r="128" spans="1:15" ht="15">
      <c r="A128" s="378">
        <f t="shared" si="16"/>
        <v>76</v>
      </c>
      <c r="B128" s="384" t="str">
        <f t="shared" si="19"/>
        <v>AF76</v>
      </c>
      <c r="C128" s="380" t="s">
        <v>775</v>
      </c>
      <c r="D128" s="379"/>
      <c r="E128" s="381">
        <f t="shared" si="15"/>
        <v>5.2577319587628867E-2</v>
      </c>
      <c r="F128" s="382">
        <f t="shared" si="17"/>
        <v>44.5</v>
      </c>
      <c r="G128" s="379">
        <v>51</v>
      </c>
      <c r="H128" s="379">
        <v>1600</v>
      </c>
      <c r="I128" s="379">
        <v>900</v>
      </c>
      <c r="J128" s="379">
        <v>0.97</v>
      </c>
      <c r="K128" s="379"/>
      <c r="L128" s="379"/>
      <c r="M128" s="379"/>
      <c r="N128" s="379" t="s">
        <v>640</v>
      </c>
      <c r="O128" s="383">
        <f t="shared" si="18"/>
        <v>76</v>
      </c>
    </row>
    <row r="129" spans="1:15" ht="15">
      <c r="A129" s="378">
        <f t="shared" si="16"/>
        <v>77</v>
      </c>
      <c r="B129" s="384" t="str">
        <f t="shared" si="19"/>
        <v>AF77</v>
      </c>
      <c r="C129" s="380" t="s">
        <v>776</v>
      </c>
      <c r="D129" s="379"/>
      <c r="E129" s="381">
        <f t="shared" si="15"/>
        <v>7.8461538461538444E-2</v>
      </c>
      <c r="F129" s="382">
        <f t="shared" si="17"/>
        <v>45.5</v>
      </c>
      <c r="G129" s="379">
        <v>51</v>
      </c>
      <c r="H129" s="379">
        <v>1280</v>
      </c>
      <c r="I129" s="379">
        <v>900</v>
      </c>
      <c r="J129" s="379">
        <v>0.65</v>
      </c>
      <c r="K129" s="379"/>
      <c r="L129" s="379"/>
      <c r="M129" s="379"/>
      <c r="N129" s="379" t="s">
        <v>640</v>
      </c>
      <c r="O129" s="383">
        <f t="shared" si="18"/>
        <v>77</v>
      </c>
    </row>
    <row r="130" spans="1:15" ht="27">
      <c r="A130" s="378">
        <f t="shared" si="16"/>
        <v>78</v>
      </c>
      <c r="B130" s="384" t="str">
        <f t="shared" si="19"/>
        <v>AF78</v>
      </c>
      <c r="C130" s="380" t="s">
        <v>777</v>
      </c>
      <c r="D130" s="379"/>
      <c r="E130" s="381">
        <f t="shared" si="15"/>
        <v>4.6363636363636357E-2</v>
      </c>
      <c r="F130" s="382">
        <f t="shared" si="17"/>
        <v>46.5</v>
      </c>
      <c r="G130" s="379">
        <v>51</v>
      </c>
      <c r="H130" s="379">
        <v>1920</v>
      </c>
      <c r="I130" s="379">
        <v>840</v>
      </c>
      <c r="J130" s="379">
        <v>1.1000000000000001</v>
      </c>
      <c r="K130" s="379"/>
      <c r="L130" s="379"/>
      <c r="M130" s="379"/>
      <c r="N130" s="379" t="s">
        <v>640</v>
      </c>
      <c r="O130" s="383">
        <f t="shared" si="18"/>
        <v>78</v>
      </c>
    </row>
    <row r="131" spans="1:15" ht="27">
      <c r="A131" s="378">
        <f t="shared" si="16"/>
        <v>79</v>
      </c>
      <c r="B131" s="384" t="str">
        <f t="shared" si="19"/>
        <v>AF79</v>
      </c>
      <c r="C131" s="380" t="s">
        <v>778</v>
      </c>
      <c r="D131" s="379"/>
      <c r="E131" s="381">
        <f t="shared" si="15"/>
        <v>6.4968152866242038E-2</v>
      </c>
      <c r="F131" s="382">
        <f t="shared" si="17"/>
        <v>47.5</v>
      </c>
      <c r="G131" s="379">
        <v>51</v>
      </c>
      <c r="H131" s="379">
        <v>1600</v>
      </c>
      <c r="I131" s="379">
        <v>840</v>
      </c>
      <c r="J131" s="379">
        <v>0.78500000000000003</v>
      </c>
      <c r="K131" s="379"/>
      <c r="L131" s="379"/>
      <c r="M131" s="379"/>
      <c r="N131" s="379" t="s">
        <v>640</v>
      </c>
      <c r="O131" s="383">
        <f t="shared" si="18"/>
        <v>79</v>
      </c>
    </row>
    <row r="132" spans="1:15" ht="27">
      <c r="A132" s="378">
        <f t="shared" si="16"/>
        <v>80</v>
      </c>
      <c r="B132" s="384" t="str">
        <f t="shared" si="19"/>
        <v>AF80</v>
      </c>
      <c r="C132" s="380" t="s">
        <v>779</v>
      </c>
      <c r="D132" s="379"/>
      <c r="E132" s="381">
        <f t="shared" si="15"/>
        <v>9.5327102803738309E-2</v>
      </c>
      <c r="F132" s="382">
        <f t="shared" si="17"/>
        <v>48.5</v>
      </c>
      <c r="G132" s="379">
        <v>51</v>
      </c>
      <c r="H132" s="379">
        <v>1280</v>
      </c>
      <c r="I132" s="379">
        <v>840</v>
      </c>
      <c r="J132" s="379">
        <v>0.53500000000000003</v>
      </c>
      <c r="K132" s="379"/>
      <c r="L132" s="379"/>
      <c r="M132" s="379"/>
      <c r="N132" s="379" t="s">
        <v>640</v>
      </c>
      <c r="O132" s="383">
        <f t="shared" si="18"/>
        <v>80</v>
      </c>
    </row>
    <row r="133" spans="1:15" ht="27">
      <c r="A133" s="378">
        <f t="shared" si="16"/>
        <v>81</v>
      </c>
      <c r="B133" s="384" t="str">
        <f t="shared" si="19"/>
        <v>AF81</v>
      </c>
      <c r="C133" s="380" t="s">
        <v>780</v>
      </c>
      <c r="D133" s="379"/>
      <c r="E133" s="381">
        <f t="shared" si="15"/>
        <v>0.15454545454545454</v>
      </c>
      <c r="F133" s="382">
        <f t="shared" si="17"/>
        <v>49.5</v>
      </c>
      <c r="G133" s="379">
        <v>51</v>
      </c>
      <c r="H133" s="379">
        <v>960</v>
      </c>
      <c r="I133" s="379">
        <v>840</v>
      </c>
      <c r="J133" s="379">
        <v>0.33</v>
      </c>
      <c r="K133" s="379"/>
      <c r="L133" s="379"/>
      <c r="M133" s="379"/>
      <c r="N133" s="379" t="s">
        <v>640</v>
      </c>
      <c r="O133" s="383">
        <f t="shared" si="18"/>
        <v>81</v>
      </c>
    </row>
    <row r="134" spans="1:15" ht="27">
      <c r="A134" s="378">
        <f t="shared" si="16"/>
        <v>82</v>
      </c>
      <c r="B134" s="384" t="str">
        <f t="shared" si="19"/>
        <v>AF82</v>
      </c>
      <c r="C134" s="380" t="s">
        <v>781</v>
      </c>
      <c r="D134" s="379"/>
      <c r="E134" s="381">
        <f t="shared" si="15"/>
        <v>0.28333333333333333</v>
      </c>
      <c r="F134" s="382">
        <f t="shared" si="17"/>
        <v>50.5</v>
      </c>
      <c r="G134" s="379">
        <v>51</v>
      </c>
      <c r="H134" s="379">
        <v>640</v>
      </c>
      <c r="I134" s="379">
        <v>840</v>
      </c>
      <c r="J134" s="379">
        <v>0.18</v>
      </c>
      <c r="K134" s="379"/>
      <c r="L134" s="379"/>
      <c r="M134" s="379"/>
      <c r="N134" s="379" t="s">
        <v>640</v>
      </c>
      <c r="O134" s="383">
        <f t="shared" si="18"/>
        <v>82</v>
      </c>
    </row>
    <row r="135" spans="1:15" ht="15">
      <c r="A135" s="378">
        <f t="shared" si="16"/>
        <v>83</v>
      </c>
      <c r="B135" s="384" t="str">
        <f t="shared" si="19"/>
        <v>AF83</v>
      </c>
      <c r="C135" s="380" t="s">
        <v>782</v>
      </c>
      <c r="D135" s="379"/>
      <c r="E135" s="381">
        <f t="shared" si="15"/>
        <v>0.1924528301886792</v>
      </c>
      <c r="F135" s="382">
        <f t="shared" si="17"/>
        <v>51.5</v>
      </c>
      <c r="G135" s="379">
        <v>51</v>
      </c>
      <c r="H135" s="379">
        <v>800</v>
      </c>
      <c r="I135" s="379">
        <v>795</v>
      </c>
      <c r="J135" s="379">
        <v>0.26500000000000001</v>
      </c>
      <c r="K135" s="379"/>
      <c r="L135" s="379"/>
      <c r="M135" s="379"/>
      <c r="N135" s="379" t="s">
        <v>640</v>
      </c>
      <c r="O135" s="383">
        <f t="shared" si="18"/>
        <v>83</v>
      </c>
    </row>
    <row r="136" spans="1:15" ht="15">
      <c r="A136" s="378">
        <f t="shared" si="16"/>
        <v>84</v>
      </c>
      <c r="B136" s="384" t="str">
        <f t="shared" si="19"/>
        <v>AF84</v>
      </c>
      <c r="C136" s="380" t="s">
        <v>783</v>
      </c>
      <c r="D136" s="379"/>
      <c r="E136" s="381">
        <f t="shared" ref="E136:E167" si="20">1/J136*(G136/1000)</f>
        <v>0.24285714285714283</v>
      </c>
      <c r="F136" s="382">
        <f t="shared" si="17"/>
        <v>52.5</v>
      </c>
      <c r="G136" s="379">
        <v>51</v>
      </c>
      <c r="H136" s="379">
        <v>640</v>
      </c>
      <c r="I136" s="379">
        <v>795</v>
      </c>
      <c r="J136" s="379">
        <v>0.21</v>
      </c>
      <c r="K136" s="379"/>
      <c r="L136" s="379"/>
      <c r="M136" s="379"/>
      <c r="N136" s="379" t="s">
        <v>640</v>
      </c>
      <c r="O136" s="383">
        <f t="shared" si="18"/>
        <v>84</v>
      </c>
    </row>
    <row r="137" spans="1:15" ht="15">
      <c r="A137" s="378">
        <f t="shared" si="16"/>
        <v>85</v>
      </c>
      <c r="B137" s="384" t="str">
        <f t="shared" si="19"/>
        <v>AF85</v>
      </c>
      <c r="C137" s="380" t="s">
        <v>784</v>
      </c>
      <c r="D137" s="379"/>
      <c r="E137" s="381">
        <f t="shared" si="20"/>
        <v>0.31874999999999998</v>
      </c>
      <c r="F137" s="382">
        <f t="shared" si="17"/>
        <v>53.5</v>
      </c>
      <c r="G137" s="379">
        <v>51</v>
      </c>
      <c r="H137" s="379">
        <v>480</v>
      </c>
      <c r="I137" s="379">
        <v>795</v>
      </c>
      <c r="J137" s="379">
        <v>0.16</v>
      </c>
      <c r="K137" s="379"/>
      <c r="L137" s="379"/>
      <c r="M137" s="379"/>
      <c r="N137" s="379" t="s">
        <v>640</v>
      </c>
      <c r="O137" s="383">
        <f t="shared" si="18"/>
        <v>85</v>
      </c>
    </row>
    <row r="138" spans="1:15" ht="15">
      <c r="A138" s="378">
        <f t="shared" si="16"/>
        <v>86</v>
      </c>
      <c r="B138" s="384" t="str">
        <f t="shared" si="19"/>
        <v>AF86</v>
      </c>
      <c r="C138" s="380" t="s">
        <v>785</v>
      </c>
      <c r="D138" s="379"/>
      <c r="E138" s="381">
        <f t="shared" si="20"/>
        <v>0.42499999999999999</v>
      </c>
      <c r="F138" s="382">
        <f t="shared" si="17"/>
        <v>54.5</v>
      </c>
      <c r="G138" s="379">
        <v>51</v>
      </c>
      <c r="H138" s="379">
        <v>320</v>
      </c>
      <c r="I138" s="379">
        <v>795</v>
      </c>
      <c r="J138" s="379">
        <v>0.12</v>
      </c>
      <c r="K138" s="379"/>
      <c r="L138" s="379"/>
      <c r="M138" s="379"/>
      <c r="N138" s="379" t="s">
        <v>640</v>
      </c>
      <c r="O138" s="383">
        <f t="shared" si="18"/>
        <v>86</v>
      </c>
    </row>
    <row r="139" spans="1:15" ht="15">
      <c r="A139" s="378">
        <f t="shared" si="16"/>
        <v>87</v>
      </c>
      <c r="B139" s="384" t="str">
        <f t="shared" si="19"/>
        <v>AF87</v>
      </c>
      <c r="C139" s="380" t="s">
        <v>786</v>
      </c>
      <c r="D139" s="379"/>
      <c r="E139" s="381">
        <f t="shared" si="20"/>
        <v>6.7999999999999991E-2</v>
      </c>
      <c r="F139" s="382">
        <f t="shared" si="17"/>
        <v>55.5</v>
      </c>
      <c r="G139" s="379">
        <v>51</v>
      </c>
      <c r="H139" s="379">
        <v>1920</v>
      </c>
      <c r="I139" s="379">
        <v>900</v>
      </c>
      <c r="J139" s="379">
        <v>0.75</v>
      </c>
      <c r="K139" s="379"/>
      <c r="L139" s="379"/>
      <c r="M139" s="379"/>
      <c r="N139" s="379" t="s">
        <v>640</v>
      </c>
      <c r="O139" s="383">
        <f t="shared" si="18"/>
        <v>87</v>
      </c>
    </row>
    <row r="140" spans="1:15" ht="15">
      <c r="A140" s="378">
        <f t="shared" si="16"/>
        <v>88</v>
      </c>
      <c r="B140" s="384" t="str">
        <f t="shared" si="19"/>
        <v>AF88</v>
      </c>
      <c r="C140" s="380" t="s">
        <v>787</v>
      </c>
      <c r="D140" s="379"/>
      <c r="E140" s="381">
        <f t="shared" si="20"/>
        <v>8.4999999999999992E-2</v>
      </c>
      <c r="F140" s="382">
        <f t="shared" si="17"/>
        <v>56.5</v>
      </c>
      <c r="G140" s="379">
        <v>51</v>
      </c>
      <c r="H140" s="379">
        <v>1600</v>
      </c>
      <c r="I140" s="379">
        <v>900</v>
      </c>
      <c r="J140" s="379">
        <v>0.6</v>
      </c>
      <c r="K140" s="379"/>
      <c r="L140" s="379"/>
      <c r="M140" s="379"/>
      <c r="N140" s="379" t="s">
        <v>640</v>
      </c>
      <c r="O140" s="383">
        <f t="shared" si="18"/>
        <v>88</v>
      </c>
    </row>
    <row r="141" spans="1:15" ht="15">
      <c r="A141" s="378">
        <f t="shared" si="16"/>
        <v>89</v>
      </c>
      <c r="B141" s="384" t="str">
        <f t="shared" si="19"/>
        <v>AF89</v>
      </c>
      <c r="C141" s="380" t="s">
        <v>788</v>
      </c>
      <c r="D141" s="379"/>
      <c r="E141" s="381">
        <f t="shared" si="20"/>
        <v>0.11590909090909091</v>
      </c>
      <c r="F141" s="382">
        <f t="shared" si="17"/>
        <v>57.5</v>
      </c>
      <c r="G141" s="379">
        <v>51</v>
      </c>
      <c r="H141" s="379">
        <v>1280</v>
      </c>
      <c r="I141" s="379">
        <v>900</v>
      </c>
      <c r="J141" s="379">
        <v>0.44</v>
      </c>
      <c r="K141" s="379"/>
      <c r="L141" s="379"/>
      <c r="M141" s="379"/>
      <c r="N141" s="379" t="s">
        <v>640</v>
      </c>
      <c r="O141" s="383">
        <f t="shared" si="18"/>
        <v>89</v>
      </c>
    </row>
    <row r="142" spans="1:15" ht="15">
      <c r="A142" s="378">
        <f t="shared" si="16"/>
        <v>90</v>
      </c>
      <c r="B142" s="384" t="str">
        <f t="shared" si="19"/>
        <v>AF90</v>
      </c>
      <c r="C142" s="380" t="s">
        <v>789</v>
      </c>
      <c r="D142" s="379"/>
      <c r="E142" s="381">
        <f t="shared" si="20"/>
        <v>0.14166666666666666</v>
      </c>
      <c r="F142" s="382">
        <f t="shared" si="17"/>
        <v>58.5</v>
      </c>
      <c r="G142" s="379">
        <v>51</v>
      </c>
      <c r="H142" s="379">
        <v>1120</v>
      </c>
      <c r="I142" s="379">
        <v>900</v>
      </c>
      <c r="J142" s="379">
        <v>0.36</v>
      </c>
      <c r="K142" s="379"/>
      <c r="L142" s="379"/>
      <c r="M142" s="379"/>
      <c r="N142" s="379" t="s">
        <v>640</v>
      </c>
      <c r="O142" s="383">
        <f t="shared" si="18"/>
        <v>90</v>
      </c>
    </row>
    <row r="143" spans="1:15" ht="15">
      <c r="A143" s="378">
        <f t="shared" si="16"/>
        <v>91</v>
      </c>
      <c r="B143" s="384" t="str">
        <f t="shared" si="19"/>
        <v>AF91</v>
      </c>
      <c r="C143" s="380" t="s">
        <v>790</v>
      </c>
      <c r="D143" s="379"/>
      <c r="E143" s="381">
        <f t="shared" si="20"/>
        <v>0.255</v>
      </c>
      <c r="F143" s="382">
        <f t="shared" si="17"/>
        <v>59.5</v>
      </c>
      <c r="G143" s="379">
        <v>51</v>
      </c>
      <c r="H143" s="379">
        <v>640</v>
      </c>
      <c r="I143" s="379">
        <v>900</v>
      </c>
      <c r="J143" s="379">
        <v>0.2</v>
      </c>
      <c r="K143" s="379"/>
      <c r="L143" s="379"/>
      <c r="M143" s="379"/>
      <c r="N143" s="379" t="s">
        <v>640</v>
      </c>
      <c r="O143" s="383">
        <f t="shared" si="18"/>
        <v>91</v>
      </c>
    </row>
    <row r="144" spans="1:15" ht="15">
      <c r="A144" s="378">
        <f t="shared" si="16"/>
        <v>92</v>
      </c>
      <c r="B144" s="384" t="str">
        <f t="shared" si="19"/>
        <v>AF92</v>
      </c>
      <c r="C144" s="380" t="s">
        <v>791</v>
      </c>
      <c r="D144" s="379"/>
      <c r="E144" s="381">
        <f t="shared" si="20"/>
        <v>0.42499999999999999</v>
      </c>
      <c r="F144" s="382">
        <f t="shared" si="17"/>
        <v>60.5</v>
      </c>
      <c r="G144" s="379">
        <v>51</v>
      </c>
      <c r="H144" s="379">
        <v>320</v>
      </c>
      <c r="I144" s="379">
        <v>900</v>
      </c>
      <c r="J144" s="379">
        <v>0.12</v>
      </c>
      <c r="K144" s="379"/>
      <c r="L144" s="379"/>
      <c r="M144" s="379"/>
      <c r="N144" s="379" t="s">
        <v>640</v>
      </c>
      <c r="O144" s="383">
        <f t="shared" si="18"/>
        <v>92</v>
      </c>
    </row>
    <row r="145" spans="1:15" ht="27">
      <c r="A145" s="378">
        <f t="shared" si="16"/>
        <v>93</v>
      </c>
      <c r="B145" s="384" t="str">
        <f t="shared" si="19"/>
        <v>AF93</v>
      </c>
      <c r="C145" s="380" t="s">
        <v>792</v>
      </c>
      <c r="D145" s="379"/>
      <c r="E145" s="381">
        <f t="shared" si="20"/>
        <v>4.7441860465116274E-2</v>
      </c>
      <c r="F145" s="382">
        <f t="shared" si="17"/>
        <v>61.5</v>
      </c>
      <c r="G145" s="379">
        <v>102</v>
      </c>
      <c r="H145" s="379">
        <v>2400</v>
      </c>
      <c r="I145" s="379">
        <v>900</v>
      </c>
      <c r="J145" s="379">
        <v>2.15</v>
      </c>
      <c r="K145" s="379"/>
      <c r="L145" s="379"/>
      <c r="M145" s="379"/>
      <c r="N145" s="379" t="s">
        <v>640</v>
      </c>
      <c r="O145" s="383">
        <f t="shared" si="18"/>
        <v>93</v>
      </c>
    </row>
    <row r="146" spans="1:15" ht="27">
      <c r="A146" s="378">
        <f t="shared" si="16"/>
        <v>94</v>
      </c>
      <c r="B146" s="384" t="str">
        <f t="shared" si="19"/>
        <v>AF94</v>
      </c>
      <c r="C146" s="380" t="s">
        <v>793</v>
      </c>
      <c r="D146" s="379"/>
      <c r="E146" s="381">
        <f t="shared" si="20"/>
        <v>5.2307692307692312E-2</v>
      </c>
      <c r="F146" s="382">
        <f t="shared" si="17"/>
        <v>62.5</v>
      </c>
      <c r="G146" s="379">
        <v>102</v>
      </c>
      <c r="H146" s="379">
        <v>2240</v>
      </c>
      <c r="I146" s="379">
        <v>900</v>
      </c>
      <c r="J146" s="379">
        <v>1.95</v>
      </c>
      <c r="K146" s="379"/>
      <c r="L146" s="379"/>
      <c r="M146" s="379"/>
      <c r="N146" s="379" t="s">
        <v>640</v>
      </c>
      <c r="O146" s="383">
        <f t="shared" si="18"/>
        <v>94</v>
      </c>
    </row>
    <row r="147" spans="1:15" ht="27">
      <c r="A147" s="378">
        <f t="shared" si="16"/>
        <v>95</v>
      </c>
      <c r="B147" s="384" t="str">
        <f t="shared" si="19"/>
        <v>AF95</v>
      </c>
      <c r="C147" s="380" t="s">
        <v>794</v>
      </c>
      <c r="D147" s="379"/>
      <c r="E147" s="381">
        <f t="shared" si="20"/>
        <v>7.0344827586206901E-2</v>
      </c>
      <c r="F147" s="382">
        <f t="shared" si="17"/>
        <v>63.5</v>
      </c>
      <c r="G147" s="379">
        <v>102</v>
      </c>
      <c r="H147" s="379">
        <v>2080</v>
      </c>
      <c r="I147" s="379">
        <v>900</v>
      </c>
      <c r="J147" s="379">
        <v>1.45</v>
      </c>
      <c r="K147" s="379"/>
      <c r="L147" s="379"/>
      <c r="M147" s="379"/>
      <c r="N147" s="379" t="s">
        <v>640</v>
      </c>
      <c r="O147" s="383">
        <f t="shared" si="18"/>
        <v>95</v>
      </c>
    </row>
    <row r="148" spans="1:15" ht="15">
      <c r="A148" s="378">
        <f t="shared" si="16"/>
        <v>96</v>
      </c>
      <c r="B148" s="384" t="str">
        <f t="shared" si="19"/>
        <v>AF96</v>
      </c>
      <c r="C148" s="380" t="s">
        <v>795</v>
      </c>
      <c r="D148" s="379"/>
      <c r="E148" s="381">
        <f t="shared" si="20"/>
        <v>6.3750000000000001E-2</v>
      </c>
      <c r="F148" s="382">
        <f t="shared" si="17"/>
        <v>64.5</v>
      </c>
      <c r="G148" s="379">
        <v>102</v>
      </c>
      <c r="H148" s="379">
        <v>2240</v>
      </c>
      <c r="I148" s="379">
        <v>900</v>
      </c>
      <c r="J148" s="379">
        <v>1.6</v>
      </c>
      <c r="K148" s="379"/>
      <c r="L148" s="379"/>
      <c r="M148" s="379"/>
      <c r="N148" s="379" t="s">
        <v>640</v>
      </c>
      <c r="O148" s="383">
        <f t="shared" si="18"/>
        <v>96</v>
      </c>
    </row>
    <row r="149" spans="1:15" ht="15">
      <c r="A149" s="378">
        <f t="shared" si="16"/>
        <v>97</v>
      </c>
      <c r="B149" s="384" t="str">
        <f t="shared" si="19"/>
        <v>AF97</v>
      </c>
      <c r="C149" s="380" t="s">
        <v>796</v>
      </c>
      <c r="D149" s="379"/>
      <c r="E149" s="381">
        <f t="shared" si="20"/>
        <v>8.9473684210526316E-2</v>
      </c>
      <c r="F149" s="382">
        <f t="shared" si="17"/>
        <v>65.5</v>
      </c>
      <c r="G149" s="379">
        <v>102</v>
      </c>
      <c r="H149" s="379">
        <v>1920</v>
      </c>
      <c r="I149" s="379">
        <v>900</v>
      </c>
      <c r="J149" s="379">
        <v>1.1399999999999999</v>
      </c>
      <c r="K149" s="379"/>
      <c r="L149" s="379"/>
      <c r="M149" s="379"/>
      <c r="N149" s="379" t="s">
        <v>640</v>
      </c>
      <c r="O149" s="383">
        <f t="shared" si="18"/>
        <v>97</v>
      </c>
    </row>
    <row r="150" spans="1:15" ht="15">
      <c r="A150" s="378">
        <f t="shared" ref="A150:A181" si="21">A149+1</f>
        <v>98</v>
      </c>
      <c r="B150" s="384" t="str">
        <f t="shared" si="19"/>
        <v>AF98</v>
      </c>
      <c r="C150" s="380" t="s">
        <v>797</v>
      </c>
      <c r="D150" s="379"/>
      <c r="E150" s="381">
        <f t="shared" si="20"/>
        <v>0.12911392405063288</v>
      </c>
      <c r="F150" s="382">
        <f t="shared" ref="F150:F181" si="22">F149+1</f>
        <v>66.5</v>
      </c>
      <c r="G150" s="379">
        <v>102</v>
      </c>
      <c r="H150" s="379">
        <v>1600</v>
      </c>
      <c r="I150" s="379">
        <v>900</v>
      </c>
      <c r="J150" s="379">
        <v>0.79</v>
      </c>
      <c r="K150" s="379"/>
      <c r="L150" s="379"/>
      <c r="M150" s="379"/>
      <c r="N150" s="379" t="s">
        <v>640</v>
      </c>
      <c r="O150" s="383">
        <f t="shared" ref="O150:O181" si="23">O149+1</f>
        <v>98</v>
      </c>
    </row>
    <row r="151" spans="1:15" ht="27">
      <c r="A151" s="378">
        <f t="shared" si="21"/>
        <v>99</v>
      </c>
      <c r="B151" s="384" t="str">
        <f t="shared" si="19"/>
        <v>AF99</v>
      </c>
      <c r="C151" s="380" t="s">
        <v>798</v>
      </c>
      <c r="D151" s="379"/>
      <c r="E151" s="381">
        <f t="shared" si="20"/>
        <v>0.42499999999999999</v>
      </c>
      <c r="F151" s="382">
        <f t="shared" si="22"/>
        <v>67.5</v>
      </c>
      <c r="G151" s="379">
        <v>102</v>
      </c>
      <c r="H151" s="379">
        <v>816</v>
      </c>
      <c r="I151" s="379">
        <v>880</v>
      </c>
      <c r="J151" s="379">
        <v>0.24</v>
      </c>
      <c r="K151" s="379"/>
      <c r="L151" s="379"/>
      <c r="M151" s="379"/>
      <c r="N151" s="379" t="s">
        <v>640</v>
      </c>
      <c r="O151" s="383">
        <f t="shared" si="23"/>
        <v>99</v>
      </c>
    </row>
    <row r="152" spans="1:15" ht="15">
      <c r="A152" s="378">
        <f t="shared" si="21"/>
        <v>100</v>
      </c>
      <c r="B152" s="384" t="str">
        <f t="shared" si="19"/>
        <v>AF100</v>
      </c>
      <c r="C152" s="380" t="s">
        <v>799</v>
      </c>
      <c r="D152" s="379"/>
      <c r="E152" s="381">
        <f t="shared" si="20"/>
        <v>7.2857142857142856E-2</v>
      </c>
      <c r="F152" s="382">
        <f t="shared" si="22"/>
        <v>68.5</v>
      </c>
      <c r="G152" s="379">
        <v>102</v>
      </c>
      <c r="H152" s="379">
        <v>1920</v>
      </c>
      <c r="I152" s="379">
        <v>900</v>
      </c>
      <c r="J152" s="379">
        <v>1.4</v>
      </c>
      <c r="K152" s="379"/>
      <c r="L152" s="379"/>
      <c r="M152" s="379"/>
      <c r="N152" s="379" t="s">
        <v>640</v>
      </c>
      <c r="O152" s="383">
        <f t="shared" si="23"/>
        <v>100</v>
      </c>
    </row>
    <row r="153" spans="1:15" ht="15">
      <c r="A153" s="378">
        <f t="shared" si="21"/>
        <v>101</v>
      </c>
      <c r="B153" s="384" t="str">
        <f t="shared" si="19"/>
        <v>AF101</v>
      </c>
      <c r="C153" s="380" t="s">
        <v>800</v>
      </c>
      <c r="D153" s="379"/>
      <c r="E153" s="381">
        <f t="shared" si="20"/>
        <v>0.10515463917525773</v>
      </c>
      <c r="F153" s="382">
        <f t="shared" si="22"/>
        <v>69.5</v>
      </c>
      <c r="G153" s="379">
        <v>102</v>
      </c>
      <c r="H153" s="379">
        <v>1600</v>
      </c>
      <c r="I153" s="379">
        <v>900</v>
      </c>
      <c r="J153" s="379">
        <v>0.97</v>
      </c>
      <c r="K153" s="379"/>
      <c r="L153" s="379"/>
      <c r="M153" s="379"/>
      <c r="N153" s="379" t="s">
        <v>640</v>
      </c>
      <c r="O153" s="383">
        <f t="shared" si="23"/>
        <v>101</v>
      </c>
    </row>
    <row r="154" spans="1:15" ht="15">
      <c r="A154" s="378">
        <f t="shared" si="21"/>
        <v>102</v>
      </c>
      <c r="B154" s="384" t="str">
        <f t="shared" si="19"/>
        <v>AF102</v>
      </c>
      <c r="C154" s="380" t="s">
        <v>801</v>
      </c>
      <c r="D154" s="379"/>
      <c r="E154" s="381">
        <f t="shared" si="20"/>
        <v>0.15692307692307689</v>
      </c>
      <c r="F154" s="382">
        <f t="shared" si="22"/>
        <v>70.5</v>
      </c>
      <c r="G154" s="379">
        <v>102</v>
      </c>
      <c r="H154" s="379">
        <v>1280</v>
      </c>
      <c r="I154" s="379">
        <v>900</v>
      </c>
      <c r="J154" s="379">
        <v>0.65</v>
      </c>
      <c r="K154" s="379"/>
      <c r="L154" s="379"/>
      <c r="M154" s="379"/>
      <c r="N154" s="379" t="s">
        <v>640</v>
      </c>
      <c r="O154" s="383">
        <f t="shared" si="23"/>
        <v>102</v>
      </c>
    </row>
    <row r="155" spans="1:15" ht="27">
      <c r="A155" s="378">
        <f t="shared" si="21"/>
        <v>103</v>
      </c>
      <c r="B155" s="384" t="str">
        <f t="shared" si="19"/>
        <v>AF103</v>
      </c>
      <c r="C155" s="380" t="s">
        <v>802</v>
      </c>
      <c r="D155" s="379"/>
      <c r="E155" s="381">
        <f t="shared" si="20"/>
        <v>9.2727272727272714E-2</v>
      </c>
      <c r="F155" s="382">
        <f t="shared" si="22"/>
        <v>71.5</v>
      </c>
      <c r="G155" s="379">
        <v>102</v>
      </c>
      <c r="H155" s="379">
        <v>1920</v>
      </c>
      <c r="I155" s="379">
        <v>840</v>
      </c>
      <c r="J155" s="379">
        <v>1.1000000000000001</v>
      </c>
      <c r="K155" s="379"/>
      <c r="L155" s="379"/>
      <c r="M155" s="379"/>
      <c r="N155" s="379" t="s">
        <v>640</v>
      </c>
      <c r="O155" s="383">
        <f t="shared" si="23"/>
        <v>103</v>
      </c>
    </row>
    <row r="156" spans="1:15" ht="27">
      <c r="A156" s="378">
        <f t="shared" si="21"/>
        <v>104</v>
      </c>
      <c r="B156" s="384" t="str">
        <f t="shared" si="19"/>
        <v>AF104</v>
      </c>
      <c r="C156" s="380" t="s">
        <v>803</v>
      </c>
      <c r="D156" s="379"/>
      <c r="E156" s="381">
        <f t="shared" si="20"/>
        <v>0.12993630573248408</v>
      </c>
      <c r="F156" s="382">
        <f t="shared" si="22"/>
        <v>72.5</v>
      </c>
      <c r="G156" s="379">
        <v>102</v>
      </c>
      <c r="H156" s="379">
        <v>1600</v>
      </c>
      <c r="I156" s="379">
        <v>840</v>
      </c>
      <c r="J156" s="379">
        <v>0.78500000000000003</v>
      </c>
      <c r="K156" s="379"/>
      <c r="L156" s="379"/>
      <c r="M156" s="379"/>
      <c r="N156" s="379" t="s">
        <v>640</v>
      </c>
      <c r="O156" s="383">
        <f t="shared" si="23"/>
        <v>104</v>
      </c>
    </row>
    <row r="157" spans="1:15" ht="27">
      <c r="A157" s="378">
        <f t="shared" si="21"/>
        <v>105</v>
      </c>
      <c r="B157" s="384" t="str">
        <f t="shared" si="19"/>
        <v>AF105</v>
      </c>
      <c r="C157" s="380" t="s">
        <v>804</v>
      </c>
      <c r="D157" s="379"/>
      <c r="E157" s="381">
        <f t="shared" si="20"/>
        <v>0.19065420560747662</v>
      </c>
      <c r="F157" s="382">
        <f t="shared" si="22"/>
        <v>73.5</v>
      </c>
      <c r="G157" s="379">
        <v>102</v>
      </c>
      <c r="H157" s="379">
        <v>1280</v>
      </c>
      <c r="I157" s="379">
        <v>840</v>
      </c>
      <c r="J157" s="379">
        <v>0.53500000000000003</v>
      </c>
      <c r="K157" s="379"/>
      <c r="L157" s="379"/>
      <c r="M157" s="379"/>
      <c r="N157" s="379" t="s">
        <v>640</v>
      </c>
      <c r="O157" s="383">
        <f t="shared" si="23"/>
        <v>105</v>
      </c>
    </row>
    <row r="158" spans="1:15" ht="27">
      <c r="A158" s="378">
        <f t="shared" si="21"/>
        <v>106</v>
      </c>
      <c r="B158" s="384" t="str">
        <f t="shared" ref="B158:B189" si="24">"AF"&amp;(A158)</f>
        <v>AF106</v>
      </c>
      <c r="C158" s="380" t="s">
        <v>804</v>
      </c>
      <c r="D158" s="379"/>
      <c r="E158" s="381">
        <f t="shared" si="20"/>
        <v>0.19065420560747662</v>
      </c>
      <c r="F158" s="382">
        <f t="shared" si="22"/>
        <v>74.5</v>
      </c>
      <c r="G158" s="379">
        <v>102</v>
      </c>
      <c r="H158" s="379">
        <v>1280</v>
      </c>
      <c r="I158" s="379">
        <v>840</v>
      </c>
      <c r="J158" s="379">
        <v>0.53500000000000003</v>
      </c>
      <c r="K158" s="379"/>
      <c r="L158" s="379"/>
      <c r="M158" s="379"/>
      <c r="N158" s="379" t="s">
        <v>640</v>
      </c>
      <c r="O158" s="383">
        <f t="shared" si="23"/>
        <v>106</v>
      </c>
    </row>
    <row r="159" spans="1:15" ht="27">
      <c r="A159" s="378">
        <f t="shared" si="21"/>
        <v>107</v>
      </c>
      <c r="B159" s="384" t="str">
        <f t="shared" si="24"/>
        <v>AF107</v>
      </c>
      <c r="C159" s="380" t="s">
        <v>805</v>
      </c>
      <c r="D159" s="379"/>
      <c r="E159" s="381">
        <f t="shared" si="20"/>
        <v>0.30909090909090908</v>
      </c>
      <c r="F159" s="382">
        <f t="shared" si="22"/>
        <v>75.5</v>
      </c>
      <c r="G159" s="379">
        <v>102</v>
      </c>
      <c r="H159" s="379">
        <v>960</v>
      </c>
      <c r="I159" s="379">
        <v>840</v>
      </c>
      <c r="J159" s="379">
        <v>0.33</v>
      </c>
      <c r="K159" s="379"/>
      <c r="L159" s="379"/>
      <c r="M159" s="379"/>
      <c r="N159" s="379" t="s">
        <v>640</v>
      </c>
      <c r="O159" s="383">
        <f t="shared" si="23"/>
        <v>107</v>
      </c>
    </row>
    <row r="160" spans="1:15" ht="27">
      <c r="A160" s="378">
        <f t="shared" si="21"/>
        <v>108</v>
      </c>
      <c r="B160" s="384" t="str">
        <f t="shared" si="24"/>
        <v>AF108</v>
      </c>
      <c r="C160" s="380" t="s">
        <v>806</v>
      </c>
      <c r="D160" s="379"/>
      <c r="E160" s="381">
        <f t="shared" si="20"/>
        <v>0.56666666666666665</v>
      </c>
      <c r="F160" s="382">
        <f t="shared" si="22"/>
        <v>76.5</v>
      </c>
      <c r="G160" s="379">
        <v>102</v>
      </c>
      <c r="H160" s="379">
        <v>640</v>
      </c>
      <c r="I160" s="379">
        <v>840</v>
      </c>
      <c r="J160" s="379">
        <v>0.18</v>
      </c>
      <c r="K160" s="379"/>
      <c r="L160" s="379"/>
      <c r="M160" s="379"/>
      <c r="N160" s="379" t="s">
        <v>640</v>
      </c>
      <c r="O160" s="383">
        <f t="shared" si="23"/>
        <v>108</v>
      </c>
    </row>
    <row r="161" spans="1:15" ht="15">
      <c r="A161" s="378">
        <f t="shared" si="21"/>
        <v>109</v>
      </c>
      <c r="B161" s="384" t="str">
        <f t="shared" si="24"/>
        <v>AF109</v>
      </c>
      <c r="C161" s="380" t="s">
        <v>807</v>
      </c>
      <c r="D161" s="379"/>
      <c r="E161" s="381">
        <f t="shared" si="20"/>
        <v>0.38490566037735841</v>
      </c>
      <c r="F161" s="382">
        <f t="shared" si="22"/>
        <v>77.5</v>
      </c>
      <c r="G161" s="379">
        <v>102</v>
      </c>
      <c r="H161" s="379">
        <v>800</v>
      </c>
      <c r="I161" s="379">
        <v>795</v>
      </c>
      <c r="J161" s="379">
        <v>0.26500000000000001</v>
      </c>
      <c r="K161" s="379"/>
      <c r="L161" s="379"/>
      <c r="M161" s="379"/>
      <c r="N161" s="379" t="s">
        <v>640</v>
      </c>
      <c r="O161" s="383">
        <f t="shared" si="23"/>
        <v>109</v>
      </c>
    </row>
    <row r="162" spans="1:15" ht="15">
      <c r="A162" s="378">
        <f t="shared" si="21"/>
        <v>110</v>
      </c>
      <c r="B162" s="384" t="str">
        <f t="shared" si="24"/>
        <v>AF110</v>
      </c>
      <c r="C162" s="380" t="s">
        <v>808</v>
      </c>
      <c r="D162" s="379"/>
      <c r="E162" s="381">
        <f t="shared" si="20"/>
        <v>0.48571428571428565</v>
      </c>
      <c r="F162" s="382">
        <f t="shared" si="22"/>
        <v>78.5</v>
      </c>
      <c r="G162" s="379">
        <v>102</v>
      </c>
      <c r="H162" s="379">
        <v>640</v>
      </c>
      <c r="I162" s="379">
        <v>795</v>
      </c>
      <c r="J162" s="379">
        <v>0.21</v>
      </c>
      <c r="K162" s="379"/>
      <c r="L162" s="379"/>
      <c r="M162" s="379"/>
      <c r="N162" s="379" t="s">
        <v>640</v>
      </c>
      <c r="O162" s="383">
        <f t="shared" si="23"/>
        <v>110</v>
      </c>
    </row>
    <row r="163" spans="1:15" ht="15">
      <c r="A163" s="378">
        <f t="shared" si="21"/>
        <v>111</v>
      </c>
      <c r="B163" s="384" t="str">
        <f t="shared" si="24"/>
        <v>AF111</v>
      </c>
      <c r="C163" s="380" t="s">
        <v>809</v>
      </c>
      <c r="D163" s="379"/>
      <c r="E163" s="381">
        <f t="shared" si="20"/>
        <v>0.63749999999999996</v>
      </c>
      <c r="F163" s="382">
        <f t="shared" si="22"/>
        <v>79.5</v>
      </c>
      <c r="G163" s="379">
        <v>102</v>
      </c>
      <c r="H163" s="379">
        <v>480</v>
      </c>
      <c r="I163" s="379">
        <v>795</v>
      </c>
      <c r="J163" s="379">
        <v>0.16</v>
      </c>
      <c r="K163" s="379"/>
      <c r="L163" s="379"/>
      <c r="M163" s="379"/>
      <c r="N163" s="379" t="s">
        <v>640</v>
      </c>
      <c r="O163" s="383">
        <f t="shared" si="23"/>
        <v>111</v>
      </c>
    </row>
    <row r="164" spans="1:15" ht="15">
      <c r="A164" s="378">
        <f t="shared" si="21"/>
        <v>112</v>
      </c>
      <c r="B164" s="384" t="str">
        <f t="shared" si="24"/>
        <v>AF112</v>
      </c>
      <c r="C164" s="380" t="s">
        <v>810</v>
      </c>
      <c r="D164" s="379"/>
      <c r="E164" s="381">
        <f t="shared" si="20"/>
        <v>0.85</v>
      </c>
      <c r="F164" s="382">
        <f t="shared" si="22"/>
        <v>80.5</v>
      </c>
      <c r="G164" s="379">
        <v>102</v>
      </c>
      <c r="H164" s="379">
        <v>320</v>
      </c>
      <c r="I164" s="379">
        <v>795</v>
      </c>
      <c r="J164" s="379">
        <v>0.12</v>
      </c>
      <c r="K164" s="379"/>
      <c r="L164" s="379"/>
      <c r="M164" s="379"/>
      <c r="N164" s="379" t="s">
        <v>640</v>
      </c>
      <c r="O164" s="383">
        <f t="shared" si="23"/>
        <v>112</v>
      </c>
    </row>
    <row r="165" spans="1:15" ht="15">
      <c r="A165" s="378">
        <f t="shared" si="21"/>
        <v>113</v>
      </c>
      <c r="B165" s="384" t="str">
        <f t="shared" si="24"/>
        <v>AF113</v>
      </c>
      <c r="C165" s="380" t="s">
        <v>811</v>
      </c>
      <c r="D165" s="379"/>
      <c r="E165" s="381">
        <f t="shared" si="20"/>
        <v>0.13599999999999998</v>
      </c>
      <c r="F165" s="382">
        <f t="shared" si="22"/>
        <v>81.5</v>
      </c>
      <c r="G165" s="379">
        <v>102</v>
      </c>
      <c r="H165" s="379">
        <v>1920</v>
      </c>
      <c r="I165" s="379">
        <v>900</v>
      </c>
      <c r="J165" s="379">
        <v>0.75</v>
      </c>
      <c r="K165" s="379"/>
      <c r="L165" s="379"/>
      <c r="M165" s="379"/>
      <c r="N165" s="379" t="s">
        <v>640</v>
      </c>
      <c r="O165" s="383">
        <f t="shared" si="23"/>
        <v>113</v>
      </c>
    </row>
    <row r="166" spans="1:15" ht="15">
      <c r="A166" s="378">
        <f t="shared" si="21"/>
        <v>114</v>
      </c>
      <c r="B166" s="384" t="str">
        <f t="shared" si="24"/>
        <v>AF114</v>
      </c>
      <c r="C166" s="380" t="s">
        <v>812</v>
      </c>
      <c r="D166" s="379"/>
      <c r="E166" s="381">
        <f t="shared" si="20"/>
        <v>0.16999999999999998</v>
      </c>
      <c r="F166" s="382">
        <f t="shared" si="22"/>
        <v>82.5</v>
      </c>
      <c r="G166" s="379">
        <v>102</v>
      </c>
      <c r="H166" s="379">
        <v>1600</v>
      </c>
      <c r="I166" s="379">
        <v>900</v>
      </c>
      <c r="J166" s="379">
        <v>0.6</v>
      </c>
      <c r="K166" s="379"/>
      <c r="L166" s="379"/>
      <c r="M166" s="379"/>
      <c r="N166" s="379" t="s">
        <v>640</v>
      </c>
      <c r="O166" s="383">
        <f t="shared" si="23"/>
        <v>114</v>
      </c>
    </row>
    <row r="167" spans="1:15" ht="15">
      <c r="A167" s="378">
        <f t="shared" si="21"/>
        <v>115</v>
      </c>
      <c r="B167" s="384" t="str">
        <f t="shared" si="24"/>
        <v>AF115</v>
      </c>
      <c r="C167" s="380" t="s">
        <v>813</v>
      </c>
      <c r="D167" s="379"/>
      <c r="E167" s="381">
        <f t="shared" si="20"/>
        <v>0.23181818181818181</v>
      </c>
      <c r="F167" s="382">
        <f t="shared" si="22"/>
        <v>83.5</v>
      </c>
      <c r="G167" s="379">
        <v>102</v>
      </c>
      <c r="H167" s="379">
        <v>1280</v>
      </c>
      <c r="I167" s="379">
        <v>900</v>
      </c>
      <c r="J167" s="379">
        <v>0.44</v>
      </c>
      <c r="K167" s="379"/>
      <c r="L167" s="379"/>
      <c r="M167" s="379"/>
      <c r="N167" s="379" t="s">
        <v>640</v>
      </c>
      <c r="O167" s="383">
        <f t="shared" si="23"/>
        <v>115</v>
      </c>
    </row>
    <row r="168" spans="1:15" ht="15">
      <c r="A168" s="378">
        <f t="shared" si="21"/>
        <v>116</v>
      </c>
      <c r="B168" s="384" t="str">
        <f t="shared" si="24"/>
        <v>AF116</v>
      </c>
      <c r="C168" s="380" t="s">
        <v>814</v>
      </c>
      <c r="D168" s="379"/>
      <c r="E168" s="381">
        <f t="shared" ref="E168:E199" si="25">1/J168*(G168/1000)</f>
        <v>0.28333333333333333</v>
      </c>
      <c r="F168" s="382">
        <f t="shared" si="22"/>
        <v>84.5</v>
      </c>
      <c r="G168" s="379">
        <v>102</v>
      </c>
      <c r="H168" s="379">
        <v>1120</v>
      </c>
      <c r="I168" s="379">
        <v>900</v>
      </c>
      <c r="J168" s="379">
        <v>0.36</v>
      </c>
      <c r="K168" s="379"/>
      <c r="L168" s="379"/>
      <c r="M168" s="379"/>
      <c r="N168" s="379" t="s">
        <v>640</v>
      </c>
      <c r="O168" s="383">
        <f t="shared" si="23"/>
        <v>116</v>
      </c>
    </row>
    <row r="169" spans="1:15" ht="15">
      <c r="A169" s="378">
        <f t="shared" si="21"/>
        <v>117</v>
      </c>
      <c r="B169" s="384" t="str">
        <f t="shared" si="24"/>
        <v>AF117</v>
      </c>
      <c r="C169" s="380" t="s">
        <v>815</v>
      </c>
      <c r="D169" s="379"/>
      <c r="E169" s="381">
        <f t="shared" si="25"/>
        <v>0.33999999999999997</v>
      </c>
      <c r="F169" s="382">
        <f t="shared" si="22"/>
        <v>85.5</v>
      </c>
      <c r="G169" s="379">
        <v>102</v>
      </c>
      <c r="H169" s="379">
        <v>960</v>
      </c>
      <c r="I169" s="379">
        <v>900</v>
      </c>
      <c r="J169" s="379">
        <v>0.3</v>
      </c>
      <c r="K169" s="379"/>
      <c r="L169" s="379"/>
      <c r="M169" s="379"/>
      <c r="N169" s="379" t="s">
        <v>640</v>
      </c>
      <c r="O169" s="383">
        <f t="shared" si="23"/>
        <v>117</v>
      </c>
    </row>
    <row r="170" spans="1:15" ht="15">
      <c r="A170" s="378">
        <f t="shared" si="21"/>
        <v>118</v>
      </c>
      <c r="B170" s="384" t="str">
        <f t="shared" si="24"/>
        <v>AF118</v>
      </c>
      <c r="C170" s="380" t="s">
        <v>816</v>
      </c>
      <c r="D170" s="379"/>
      <c r="E170" s="381">
        <f t="shared" si="25"/>
        <v>0.51</v>
      </c>
      <c r="F170" s="382">
        <f t="shared" si="22"/>
        <v>86.5</v>
      </c>
      <c r="G170" s="379">
        <v>102</v>
      </c>
      <c r="H170" s="379">
        <v>640</v>
      </c>
      <c r="I170" s="379">
        <v>900</v>
      </c>
      <c r="J170" s="379">
        <v>0.2</v>
      </c>
      <c r="K170" s="379"/>
      <c r="L170" s="379"/>
      <c r="M170" s="379"/>
      <c r="N170" s="379" t="s">
        <v>640</v>
      </c>
      <c r="O170" s="383">
        <f t="shared" si="23"/>
        <v>118</v>
      </c>
    </row>
    <row r="171" spans="1:15" ht="15">
      <c r="A171" s="378">
        <f t="shared" si="21"/>
        <v>119</v>
      </c>
      <c r="B171" s="384" t="str">
        <f t="shared" si="24"/>
        <v>AF119</v>
      </c>
      <c r="C171" s="380" t="s">
        <v>817</v>
      </c>
      <c r="D171" s="379"/>
      <c r="E171" s="381">
        <f t="shared" si="25"/>
        <v>0.85</v>
      </c>
      <c r="F171" s="382">
        <f t="shared" si="22"/>
        <v>87.5</v>
      </c>
      <c r="G171" s="379">
        <v>102</v>
      </c>
      <c r="H171" s="379">
        <v>320</v>
      </c>
      <c r="I171" s="379">
        <v>900</v>
      </c>
      <c r="J171" s="379">
        <v>0.12</v>
      </c>
      <c r="K171" s="379"/>
      <c r="L171" s="379"/>
      <c r="M171" s="379"/>
      <c r="N171" s="379" t="s">
        <v>640</v>
      </c>
      <c r="O171" s="383">
        <f t="shared" si="23"/>
        <v>119</v>
      </c>
    </row>
    <row r="172" spans="1:15" ht="15">
      <c r="A172" s="378">
        <f t="shared" si="21"/>
        <v>120</v>
      </c>
      <c r="B172" s="384" t="str">
        <f t="shared" si="24"/>
        <v>AF120</v>
      </c>
      <c r="C172" s="380" t="s">
        <v>818</v>
      </c>
      <c r="D172" s="379"/>
      <c r="E172" s="381">
        <f t="shared" si="25"/>
        <v>7.7245508982035915E-2</v>
      </c>
      <c r="F172" s="382">
        <f t="shared" si="22"/>
        <v>88.5</v>
      </c>
      <c r="G172" s="379">
        <v>12.9</v>
      </c>
      <c r="H172" s="379">
        <v>680</v>
      </c>
      <c r="I172" s="379">
        <v>1630</v>
      </c>
      <c r="J172" s="379">
        <v>0.16700000000000001</v>
      </c>
      <c r="K172" s="379"/>
      <c r="L172" s="379"/>
      <c r="M172" s="379"/>
      <c r="N172" s="379" t="s">
        <v>643</v>
      </c>
      <c r="O172" s="383">
        <f t="shared" si="23"/>
        <v>120</v>
      </c>
    </row>
    <row r="173" spans="1:15" ht="15">
      <c r="A173" s="378">
        <f t="shared" si="21"/>
        <v>121</v>
      </c>
      <c r="B173" s="384" t="str">
        <f t="shared" si="24"/>
        <v>AF121</v>
      </c>
      <c r="C173" s="380" t="s">
        <v>819</v>
      </c>
      <c r="D173" s="379"/>
      <c r="E173" s="381">
        <f t="shared" si="25"/>
        <v>0.1497005988023952</v>
      </c>
      <c r="F173" s="382">
        <f t="shared" si="22"/>
        <v>89.5</v>
      </c>
      <c r="G173" s="379">
        <v>25</v>
      </c>
      <c r="H173" s="379">
        <v>680</v>
      </c>
      <c r="I173" s="379">
        <v>1630</v>
      </c>
      <c r="J173" s="379">
        <v>0.16700000000000001</v>
      </c>
      <c r="K173" s="379"/>
      <c r="L173" s="379"/>
      <c r="M173" s="379"/>
      <c r="N173" s="379" t="s">
        <v>643</v>
      </c>
      <c r="O173" s="383">
        <f t="shared" si="23"/>
        <v>121</v>
      </c>
    </row>
    <row r="174" spans="1:15" ht="15">
      <c r="A174" s="378">
        <f t="shared" si="21"/>
        <v>122</v>
      </c>
      <c r="B174" s="384" t="str">
        <f t="shared" si="24"/>
        <v>AF122</v>
      </c>
      <c r="C174" s="380" t="s">
        <v>820</v>
      </c>
      <c r="D174" s="379"/>
      <c r="E174" s="381">
        <f t="shared" si="25"/>
        <v>0.14705882352941177</v>
      </c>
      <c r="F174" s="382">
        <f t="shared" si="22"/>
        <v>90.5</v>
      </c>
      <c r="G174" s="379">
        <v>25</v>
      </c>
      <c r="H174" s="379">
        <v>704</v>
      </c>
      <c r="I174" s="379">
        <v>1630</v>
      </c>
      <c r="J174" s="379">
        <v>0.17</v>
      </c>
      <c r="K174" s="379"/>
      <c r="L174" s="379"/>
      <c r="M174" s="379"/>
      <c r="N174" s="379" t="s">
        <v>643</v>
      </c>
      <c r="O174" s="383">
        <f t="shared" si="23"/>
        <v>122</v>
      </c>
    </row>
    <row r="175" spans="1:15" ht="15">
      <c r="A175" s="378">
        <f t="shared" si="21"/>
        <v>123</v>
      </c>
      <c r="B175" s="384" t="str">
        <f t="shared" si="24"/>
        <v>AF123</v>
      </c>
      <c r="C175" s="380" t="s">
        <v>821</v>
      </c>
      <c r="D175" s="379"/>
      <c r="E175" s="381">
        <f t="shared" si="25"/>
        <v>0.14534883720930233</v>
      </c>
      <c r="F175" s="382">
        <f t="shared" si="22"/>
        <v>91.5</v>
      </c>
      <c r="G175" s="379">
        <v>25</v>
      </c>
      <c r="H175" s="379">
        <v>704</v>
      </c>
      <c r="I175" s="379">
        <v>1630</v>
      </c>
      <c r="J175" s="379">
        <v>0.17199999999999999</v>
      </c>
      <c r="K175" s="379"/>
      <c r="L175" s="379"/>
      <c r="M175" s="379"/>
      <c r="N175" s="379" t="s">
        <v>643</v>
      </c>
      <c r="O175" s="383">
        <f t="shared" si="23"/>
        <v>123</v>
      </c>
    </row>
    <row r="176" spans="1:15" ht="15">
      <c r="A176" s="378">
        <f t="shared" si="21"/>
        <v>124</v>
      </c>
      <c r="B176" s="384" t="str">
        <f t="shared" si="24"/>
        <v>AF124</v>
      </c>
      <c r="C176" s="380" t="s">
        <v>822</v>
      </c>
      <c r="D176" s="379"/>
      <c r="E176" s="381">
        <f t="shared" si="25"/>
        <v>0.15243902439024393</v>
      </c>
      <c r="F176" s="382">
        <f t="shared" si="22"/>
        <v>92.5</v>
      </c>
      <c r="G176" s="379">
        <v>25</v>
      </c>
      <c r="H176" s="379">
        <v>671</v>
      </c>
      <c r="I176" s="379">
        <v>1630</v>
      </c>
      <c r="J176" s="379">
        <v>0.16400000000000001</v>
      </c>
      <c r="K176" s="379"/>
      <c r="L176" s="379"/>
      <c r="M176" s="379"/>
      <c r="N176" s="379" t="s">
        <v>643</v>
      </c>
      <c r="O176" s="383">
        <f t="shared" si="23"/>
        <v>124</v>
      </c>
    </row>
    <row r="177" spans="1:15" ht="15">
      <c r="A177" s="378">
        <f t="shared" si="21"/>
        <v>125</v>
      </c>
      <c r="B177" s="384" t="str">
        <f t="shared" si="24"/>
        <v>AF125</v>
      </c>
      <c r="C177" s="380" t="s">
        <v>823</v>
      </c>
      <c r="D177" s="379"/>
      <c r="E177" s="381">
        <f t="shared" si="25"/>
        <v>0.15723270440251572</v>
      </c>
      <c r="F177" s="382">
        <f t="shared" si="22"/>
        <v>93.5</v>
      </c>
      <c r="G177" s="379">
        <v>25</v>
      </c>
      <c r="H177" s="379">
        <v>642</v>
      </c>
      <c r="I177" s="379">
        <v>1630</v>
      </c>
      <c r="J177" s="379">
        <v>0.159</v>
      </c>
      <c r="K177" s="379"/>
      <c r="L177" s="379"/>
      <c r="M177" s="379"/>
      <c r="N177" s="379" t="s">
        <v>643</v>
      </c>
      <c r="O177" s="383">
        <f t="shared" si="23"/>
        <v>125</v>
      </c>
    </row>
    <row r="178" spans="1:15" ht="15">
      <c r="A178" s="378">
        <f t="shared" si="21"/>
        <v>126</v>
      </c>
      <c r="B178" s="384" t="str">
        <f t="shared" si="24"/>
        <v>AF126</v>
      </c>
      <c r="C178" s="380" t="s">
        <v>824</v>
      </c>
      <c r="D178" s="379"/>
      <c r="E178" s="381">
        <f t="shared" si="25"/>
        <v>9.9999999999999992E-2</v>
      </c>
      <c r="F178" s="382">
        <f t="shared" si="22"/>
        <v>94.5</v>
      </c>
      <c r="G178" s="379">
        <v>12.9</v>
      </c>
      <c r="H178" s="379">
        <v>496</v>
      </c>
      <c r="I178" s="379">
        <v>1630</v>
      </c>
      <c r="J178" s="379">
        <v>0.129</v>
      </c>
      <c r="K178" s="379"/>
      <c r="L178" s="379"/>
      <c r="M178" s="379"/>
      <c r="N178" s="379" t="s">
        <v>643</v>
      </c>
      <c r="O178" s="383">
        <f t="shared" si="23"/>
        <v>126</v>
      </c>
    </row>
    <row r="179" spans="1:15" ht="15">
      <c r="A179" s="378">
        <f t="shared" si="21"/>
        <v>127</v>
      </c>
      <c r="B179" s="384" t="str">
        <f t="shared" si="24"/>
        <v>AF127</v>
      </c>
      <c r="C179" s="380" t="s">
        <v>825</v>
      </c>
      <c r="D179" s="379"/>
      <c r="E179" s="381">
        <f t="shared" si="25"/>
        <v>0.14728682170542634</v>
      </c>
      <c r="F179" s="382">
        <f t="shared" si="22"/>
        <v>95.5</v>
      </c>
      <c r="G179" s="379">
        <v>19</v>
      </c>
      <c r="H179" s="379">
        <v>496</v>
      </c>
      <c r="I179" s="379">
        <v>1630</v>
      </c>
      <c r="J179" s="379">
        <v>0.129</v>
      </c>
      <c r="K179" s="379"/>
      <c r="L179" s="379"/>
      <c r="M179" s="379"/>
      <c r="N179" s="379" t="s">
        <v>643</v>
      </c>
      <c r="O179" s="383">
        <f t="shared" si="23"/>
        <v>127</v>
      </c>
    </row>
    <row r="180" spans="1:15" ht="15">
      <c r="A180" s="378">
        <f t="shared" si="21"/>
        <v>128</v>
      </c>
      <c r="B180" s="384" t="str">
        <f t="shared" si="24"/>
        <v>AF128</v>
      </c>
      <c r="C180" s="380" t="s">
        <v>826</v>
      </c>
      <c r="D180" s="379"/>
      <c r="E180" s="381">
        <f t="shared" si="25"/>
        <v>0.19379844961240311</v>
      </c>
      <c r="F180" s="382">
        <f t="shared" si="22"/>
        <v>96.5</v>
      </c>
      <c r="G180" s="379">
        <v>25</v>
      </c>
      <c r="H180" s="379">
        <v>496</v>
      </c>
      <c r="I180" s="379">
        <v>1630</v>
      </c>
      <c r="J180" s="379">
        <v>0.129</v>
      </c>
      <c r="K180" s="379"/>
      <c r="L180" s="379"/>
      <c r="M180" s="379"/>
      <c r="N180" s="379" t="s">
        <v>643</v>
      </c>
      <c r="O180" s="383">
        <f t="shared" si="23"/>
        <v>128</v>
      </c>
    </row>
    <row r="181" spans="1:15" ht="15">
      <c r="A181" s="378">
        <f t="shared" si="21"/>
        <v>129</v>
      </c>
      <c r="B181" s="384" t="str">
        <f t="shared" si="24"/>
        <v>AF129</v>
      </c>
      <c r="C181" s="380" t="s">
        <v>827</v>
      </c>
      <c r="D181" s="379"/>
      <c r="E181" s="381">
        <f t="shared" si="25"/>
        <v>0.16339869281045752</v>
      </c>
      <c r="F181" s="382">
        <f t="shared" si="22"/>
        <v>97.5</v>
      </c>
      <c r="G181" s="379">
        <v>25</v>
      </c>
      <c r="H181" s="379">
        <v>615</v>
      </c>
      <c r="I181" s="379">
        <v>1630</v>
      </c>
      <c r="J181" s="379">
        <v>0.153</v>
      </c>
      <c r="K181" s="379"/>
      <c r="L181" s="379"/>
      <c r="M181" s="379"/>
      <c r="N181" s="379" t="s">
        <v>643</v>
      </c>
      <c r="O181" s="383">
        <f t="shared" si="23"/>
        <v>129</v>
      </c>
    </row>
    <row r="182" spans="1:15" ht="15">
      <c r="A182" s="378">
        <f t="shared" ref="A182:A213" si="26">A181+1</f>
        <v>130</v>
      </c>
      <c r="B182" s="384" t="str">
        <f t="shared" si="24"/>
        <v>AF130</v>
      </c>
      <c r="C182" s="380" t="s">
        <v>828</v>
      </c>
      <c r="D182" s="379"/>
      <c r="E182" s="381">
        <f t="shared" si="25"/>
        <v>0.17730496453900713</v>
      </c>
      <c r="F182" s="382">
        <f t="shared" ref="F182:F213" si="27">F181+1</f>
        <v>98.5</v>
      </c>
      <c r="G182" s="379">
        <v>25</v>
      </c>
      <c r="H182" s="379">
        <v>559</v>
      </c>
      <c r="I182" s="379">
        <v>1630</v>
      </c>
      <c r="J182" s="379">
        <v>0.14099999999999999</v>
      </c>
      <c r="K182" s="379"/>
      <c r="L182" s="379"/>
      <c r="M182" s="379"/>
      <c r="N182" s="379" t="s">
        <v>643</v>
      </c>
      <c r="O182" s="383">
        <f t="shared" ref="O182:O213" si="28">O181+1</f>
        <v>130</v>
      </c>
    </row>
    <row r="183" spans="1:15" ht="15">
      <c r="A183" s="378">
        <f t="shared" si="26"/>
        <v>131</v>
      </c>
      <c r="B183" s="384" t="str">
        <f t="shared" si="24"/>
        <v>AF131</v>
      </c>
      <c r="C183" s="380" t="s">
        <v>829</v>
      </c>
      <c r="D183" s="379"/>
      <c r="E183" s="381">
        <f t="shared" si="25"/>
        <v>0.19083969465648853</v>
      </c>
      <c r="F183" s="382">
        <f t="shared" si="27"/>
        <v>99.5</v>
      </c>
      <c r="G183" s="379">
        <v>25</v>
      </c>
      <c r="H183" s="379">
        <v>508</v>
      </c>
      <c r="I183" s="379">
        <v>1630</v>
      </c>
      <c r="J183" s="379">
        <v>0.13100000000000001</v>
      </c>
      <c r="K183" s="379"/>
      <c r="L183" s="379"/>
      <c r="M183" s="379"/>
      <c r="N183" s="379" t="s">
        <v>643</v>
      </c>
      <c r="O183" s="383">
        <f t="shared" si="28"/>
        <v>131</v>
      </c>
    </row>
    <row r="184" spans="1:15" ht="15">
      <c r="A184" s="378">
        <f t="shared" si="26"/>
        <v>132</v>
      </c>
      <c r="B184" s="384" t="str">
        <f t="shared" si="24"/>
        <v>AF132</v>
      </c>
      <c r="C184" s="380" t="s">
        <v>830</v>
      </c>
      <c r="D184" s="379"/>
      <c r="E184" s="381">
        <f t="shared" si="25"/>
        <v>0.21008403361344541</v>
      </c>
      <c r="F184" s="382">
        <f t="shared" si="27"/>
        <v>100.5</v>
      </c>
      <c r="G184" s="379">
        <v>25</v>
      </c>
      <c r="H184" s="379">
        <v>447</v>
      </c>
      <c r="I184" s="379">
        <v>1630</v>
      </c>
      <c r="J184" s="379">
        <v>0.11899999999999999</v>
      </c>
      <c r="K184" s="379"/>
      <c r="L184" s="379"/>
      <c r="M184" s="379"/>
      <c r="N184" s="379" t="s">
        <v>643</v>
      </c>
      <c r="O184" s="383">
        <f t="shared" si="28"/>
        <v>132</v>
      </c>
    </row>
    <row r="185" spans="1:15" ht="15">
      <c r="A185" s="378">
        <f t="shared" si="26"/>
        <v>133</v>
      </c>
      <c r="B185" s="384" t="str">
        <f t="shared" si="24"/>
        <v>AF133</v>
      </c>
      <c r="C185" s="380" t="s">
        <v>831</v>
      </c>
      <c r="D185" s="379"/>
      <c r="E185" s="381">
        <f t="shared" si="25"/>
        <v>0.21929824561403508</v>
      </c>
      <c r="F185" s="382">
        <f t="shared" si="27"/>
        <v>101.5</v>
      </c>
      <c r="G185" s="379">
        <v>25</v>
      </c>
      <c r="H185" s="379">
        <v>425</v>
      </c>
      <c r="I185" s="379">
        <v>1630</v>
      </c>
      <c r="J185" s="379">
        <v>0.114</v>
      </c>
      <c r="K185" s="379"/>
      <c r="L185" s="379"/>
      <c r="M185" s="379"/>
      <c r="N185" s="379" t="s">
        <v>643</v>
      </c>
      <c r="O185" s="383">
        <f t="shared" si="28"/>
        <v>133</v>
      </c>
    </row>
    <row r="186" spans="1:15" ht="15">
      <c r="A186" s="378">
        <f t="shared" si="26"/>
        <v>134</v>
      </c>
      <c r="B186" s="384" t="str">
        <f t="shared" si="24"/>
        <v>AF134</v>
      </c>
      <c r="C186" s="380" t="s">
        <v>832</v>
      </c>
      <c r="D186" s="379"/>
      <c r="E186" s="381">
        <f t="shared" si="25"/>
        <v>0.22123893805309736</v>
      </c>
      <c r="F186" s="382">
        <f t="shared" si="27"/>
        <v>102.5</v>
      </c>
      <c r="G186" s="379">
        <v>25</v>
      </c>
      <c r="H186" s="379">
        <v>420</v>
      </c>
      <c r="I186" s="379">
        <v>1630</v>
      </c>
      <c r="J186" s="379">
        <v>0.113</v>
      </c>
      <c r="K186" s="379"/>
      <c r="L186" s="379"/>
      <c r="M186" s="379"/>
      <c r="N186" s="379" t="s">
        <v>643</v>
      </c>
      <c r="O186" s="383">
        <f t="shared" si="28"/>
        <v>134</v>
      </c>
    </row>
    <row r="187" spans="1:15" ht="15">
      <c r="A187" s="378">
        <f t="shared" si="26"/>
        <v>135</v>
      </c>
      <c r="B187" s="384" t="str">
        <f t="shared" si="24"/>
        <v>AF135</v>
      </c>
      <c r="C187" s="380" t="s">
        <v>833</v>
      </c>
      <c r="D187" s="379"/>
      <c r="E187" s="381">
        <f t="shared" si="25"/>
        <v>0.1769911504424779</v>
      </c>
      <c r="F187" s="382">
        <f t="shared" si="27"/>
        <v>103.5</v>
      </c>
      <c r="G187" s="379">
        <v>200</v>
      </c>
      <c r="H187" s="379">
        <v>2210</v>
      </c>
      <c r="I187" s="379">
        <v>920</v>
      </c>
      <c r="J187" s="379">
        <v>1.1299999999999999</v>
      </c>
      <c r="K187" s="379"/>
      <c r="L187" s="379"/>
      <c r="M187" s="379"/>
      <c r="N187" s="379" t="s">
        <v>640</v>
      </c>
      <c r="O187" s="383">
        <f t="shared" si="28"/>
        <v>135</v>
      </c>
    </row>
    <row r="188" spans="1:15" ht="15">
      <c r="A188" s="378">
        <f t="shared" si="26"/>
        <v>136</v>
      </c>
      <c r="B188" s="384" t="str">
        <f t="shared" si="24"/>
        <v>AF136</v>
      </c>
      <c r="C188" s="380" t="s">
        <v>833</v>
      </c>
      <c r="D188" s="379"/>
      <c r="E188" s="381">
        <f t="shared" si="25"/>
        <v>0.1769911504424779</v>
      </c>
      <c r="F188" s="382">
        <f t="shared" si="27"/>
        <v>104.5</v>
      </c>
      <c r="G188" s="379">
        <v>200</v>
      </c>
      <c r="H188" s="379">
        <v>2210</v>
      </c>
      <c r="I188" s="379">
        <v>920</v>
      </c>
      <c r="J188" s="379">
        <v>1.1299999999999999</v>
      </c>
      <c r="K188" s="379"/>
      <c r="L188" s="379"/>
      <c r="M188" s="379"/>
      <c r="N188" s="379" t="s">
        <v>640</v>
      </c>
      <c r="O188" s="383">
        <f t="shared" si="28"/>
        <v>136</v>
      </c>
    </row>
    <row r="189" spans="1:15" ht="27">
      <c r="A189" s="378">
        <f t="shared" si="26"/>
        <v>137</v>
      </c>
      <c r="B189" s="384" t="str">
        <f t="shared" si="24"/>
        <v>AF137</v>
      </c>
      <c r="C189" s="380" t="s">
        <v>834</v>
      </c>
      <c r="D189" s="379"/>
      <c r="E189" s="381">
        <f t="shared" si="25"/>
        <v>0.1769911504424779</v>
      </c>
      <c r="F189" s="382">
        <f t="shared" si="27"/>
        <v>105.5</v>
      </c>
      <c r="G189" s="379">
        <v>200</v>
      </c>
      <c r="H189" s="379">
        <v>2210</v>
      </c>
      <c r="I189" s="379">
        <v>920</v>
      </c>
      <c r="J189" s="379">
        <v>1.1299999999999999</v>
      </c>
      <c r="K189" s="379"/>
      <c r="L189" s="379"/>
      <c r="M189" s="379"/>
      <c r="N189" s="379" t="s">
        <v>640</v>
      </c>
      <c r="O189" s="383">
        <f t="shared" si="28"/>
        <v>137</v>
      </c>
    </row>
    <row r="190" spans="1:15" ht="15">
      <c r="A190" s="378">
        <f t="shared" si="26"/>
        <v>138</v>
      </c>
      <c r="B190" s="384" t="str">
        <f t="shared" ref="B190:B211" si="29">"AF"&amp;(A190)</f>
        <v>AF138</v>
      </c>
      <c r="C190" s="380" t="s">
        <v>835</v>
      </c>
      <c r="D190" s="379"/>
      <c r="E190" s="381">
        <f t="shared" si="25"/>
        <v>0.26548672566371684</v>
      </c>
      <c r="F190" s="382">
        <f t="shared" si="27"/>
        <v>106.5</v>
      </c>
      <c r="G190" s="379">
        <v>300</v>
      </c>
      <c r="H190" s="379">
        <v>2210</v>
      </c>
      <c r="I190" s="379">
        <v>920</v>
      </c>
      <c r="J190" s="379">
        <v>1.1299999999999999</v>
      </c>
      <c r="K190" s="379"/>
      <c r="L190" s="379"/>
      <c r="M190" s="379"/>
      <c r="N190" s="379" t="s">
        <v>640</v>
      </c>
      <c r="O190" s="383">
        <f t="shared" si="28"/>
        <v>138</v>
      </c>
    </row>
    <row r="191" spans="1:15" ht="27">
      <c r="A191" s="378">
        <f t="shared" si="26"/>
        <v>139</v>
      </c>
      <c r="B191" s="384" t="str">
        <f t="shared" si="29"/>
        <v>AF139</v>
      </c>
      <c r="C191" s="380" t="s">
        <v>836</v>
      </c>
      <c r="D191" s="379"/>
      <c r="E191" s="381">
        <f t="shared" si="25"/>
        <v>0.26548672566371684</v>
      </c>
      <c r="F191" s="382">
        <f t="shared" si="27"/>
        <v>107.5</v>
      </c>
      <c r="G191" s="379">
        <v>300</v>
      </c>
      <c r="H191" s="379">
        <v>2210</v>
      </c>
      <c r="I191" s="379">
        <v>920</v>
      </c>
      <c r="J191" s="379">
        <v>1.1299999999999999</v>
      </c>
      <c r="K191" s="379"/>
      <c r="L191" s="379"/>
      <c r="M191" s="379"/>
      <c r="N191" s="379" t="s">
        <v>640</v>
      </c>
      <c r="O191" s="383">
        <f t="shared" si="28"/>
        <v>139</v>
      </c>
    </row>
    <row r="192" spans="1:15" ht="15">
      <c r="A192" s="378">
        <f t="shared" si="26"/>
        <v>140</v>
      </c>
      <c r="B192" s="384" t="str">
        <f t="shared" si="29"/>
        <v>AF140</v>
      </c>
      <c r="C192" s="380" t="s">
        <v>837</v>
      </c>
      <c r="D192" s="379"/>
      <c r="E192" s="381">
        <f t="shared" si="25"/>
        <v>0.1769911504424779</v>
      </c>
      <c r="F192" s="382">
        <f t="shared" si="27"/>
        <v>108.5</v>
      </c>
      <c r="G192" s="379">
        <v>200</v>
      </c>
      <c r="H192" s="379">
        <v>2180</v>
      </c>
      <c r="I192" s="379">
        <v>920</v>
      </c>
      <c r="J192" s="379">
        <v>1.1299999999999999</v>
      </c>
      <c r="K192" s="379"/>
      <c r="L192" s="379"/>
      <c r="M192" s="379"/>
      <c r="N192" s="379" t="s">
        <v>640</v>
      </c>
      <c r="O192" s="383">
        <f t="shared" si="28"/>
        <v>140</v>
      </c>
    </row>
    <row r="193" spans="1:15" ht="27">
      <c r="A193" s="378">
        <f t="shared" si="26"/>
        <v>141</v>
      </c>
      <c r="B193" s="384" t="str">
        <f t="shared" si="29"/>
        <v>AF141</v>
      </c>
      <c r="C193" s="380" t="s">
        <v>838</v>
      </c>
      <c r="D193" s="379"/>
      <c r="E193" s="381">
        <f t="shared" si="25"/>
        <v>0.1769911504424779</v>
      </c>
      <c r="F193" s="382">
        <f t="shared" si="27"/>
        <v>109.5</v>
      </c>
      <c r="G193" s="379">
        <v>200</v>
      </c>
      <c r="H193" s="379">
        <v>2180</v>
      </c>
      <c r="I193" s="379">
        <v>920</v>
      </c>
      <c r="J193" s="379">
        <v>1.1299999999999999</v>
      </c>
      <c r="K193" s="379"/>
      <c r="L193" s="379"/>
      <c r="M193" s="379"/>
      <c r="N193" s="379" t="s">
        <v>640</v>
      </c>
      <c r="O193" s="383">
        <f t="shared" si="28"/>
        <v>141</v>
      </c>
    </row>
    <row r="194" spans="1:15" ht="27">
      <c r="A194" s="378">
        <f t="shared" si="26"/>
        <v>142</v>
      </c>
      <c r="B194" s="384" t="str">
        <f t="shared" si="29"/>
        <v>AF142</v>
      </c>
      <c r="C194" s="380" t="s">
        <v>839</v>
      </c>
      <c r="D194" s="379"/>
      <c r="E194" s="381">
        <f t="shared" si="25"/>
        <v>0.1769911504424779</v>
      </c>
      <c r="F194" s="382">
        <f t="shared" si="27"/>
        <v>110.5</v>
      </c>
      <c r="G194" s="379">
        <v>200</v>
      </c>
      <c r="H194" s="379">
        <v>2180</v>
      </c>
      <c r="I194" s="379">
        <v>920</v>
      </c>
      <c r="J194" s="379">
        <v>1.1299999999999999</v>
      </c>
      <c r="K194" s="379"/>
      <c r="L194" s="379"/>
      <c r="M194" s="379"/>
      <c r="N194" s="379" t="s">
        <v>640</v>
      </c>
      <c r="O194" s="383">
        <f t="shared" si="28"/>
        <v>142</v>
      </c>
    </row>
    <row r="195" spans="1:15" ht="15">
      <c r="A195" s="378">
        <f t="shared" si="26"/>
        <v>143</v>
      </c>
      <c r="B195" s="384" t="str">
        <f t="shared" si="29"/>
        <v>AF143</v>
      </c>
      <c r="C195" s="380" t="s">
        <v>840</v>
      </c>
      <c r="D195" s="379"/>
      <c r="E195" s="381">
        <f t="shared" si="25"/>
        <v>0.26548672566371684</v>
      </c>
      <c r="F195" s="382">
        <f t="shared" si="27"/>
        <v>111.5</v>
      </c>
      <c r="G195" s="379">
        <v>300</v>
      </c>
      <c r="H195" s="379">
        <v>2000</v>
      </c>
      <c r="I195" s="379">
        <v>920</v>
      </c>
      <c r="J195" s="379">
        <v>1.1299999999999999</v>
      </c>
      <c r="K195" s="379"/>
      <c r="L195" s="379"/>
      <c r="M195" s="379"/>
      <c r="N195" s="379" t="s">
        <v>640</v>
      </c>
      <c r="O195" s="383">
        <f t="shared" si="28"/>
        <v>143</v>
      </c>
    </row>
    <row r="196" spans="1:15" ht="15">
      <c r="A196" s="378">
        <f t="shared" si="26"/>
        <v>144</v>
      </c>
      <c r="B196" s="384" t="str">
        <f t="shared" si="29"/>
        <v>AF144</v>
      </c>
      <c r="C196" s="380" t="s">
        <v>841</v>
      </c>
      <c r="D196" s="379"/>
      <c r="E196" s="381">
        <f t="shared" si="25"/>
        <v>0.26548672566371684</v>
      </c>
      <c r="F196" s="382">
        <f t="shared" si="27"/>
        <v>112.5</v>
      </c>
      <c r="G196" s="379">
        <v>300</v>
      </c>
      <c r="H196" s="379">
        <v>1790</v>
      </c>
      <c r="I196" s="379">
        <v>920</v>
      </c>
      <c r="J196" s="379">
        <v>1.1299999999999999</v>
      </c>
      <c r="K196" s="379"/>
      <c r="L196" s="379"/>
      <c r="M196" s="379"/>
      <c r="N196" s="379" t="s">
        <v>640</v>
      </c>
      <c r="O196" s="383">
        <f t="shared" si="28"/>
        <v>144</v>
      </c>
    </row>
    <row r="197" spans="1:15" ht="15">
      <c r="A197" s="378">
        <f t="shared" si="26"/>
        <v>145</v>
      </c>
      <c r="B197" s="384" t="str">
        <f t="shared" si="29"/>
        <v>AF145</v>
      </c>
      <c r="C197" s="380" t="s">
        <v>842</v>
      </c>
      <c r="D197" s="379"/>
      <c r="E197" s="381">
        <f t="shared" si="25"/>
        <v>0.26548672566371684</v>
      </c>
      <c r="F197" s="382">
        <f t="shared" si="27"/>
        <v>113.5</v>
      </c>
      <c r="G197" s="379">
        <v>300</v>
      </c>
      <c r="H197" s="379">
        <v>1790</v>
      </c>
      <c r="I197" s="379">
        <v>920</v>
      </c>
      <c r="J197" s="379">
        <v>1.1299999999999999</v>
      </c>
      <c r="K197" s="379"/>
      <c r="L197" s="379"/>
      <c r="M197" s="379"/>
      <c r="N197" s="379" t="s">
        <v>640</v>
      </c>
      <c r="O197" s="383">
        <f t="shared" si="28"/>
        <v>145</v>
      </c>
    </row>
    <row r="198" spans="1:15" ht="27">
      <c r="A198" s="378">
        <f t="shared" si="26"/>
        <v>146</v>
      </c>
      <c r="B198" s="384" t="str">
        <f t="shared" si="29"/>
        <v>AF146</v>
      </c>
      <c r="C198" s="380" t="s">
        <v>843</v>
      </c>
      <c r="D198" s="379"/>
      <c r="E198" s="381">
        <f t="shared" si="25"/>
        <v>0.26548672566371684</v>
      </c>
      <c r="F198" s="382">
        <f t="shared" si="27"/>
        <v>114.5</v>
      </c>
      <c r="G198" s="379">
        <v>300</v>
      </c>
      <c r="H198" s="379">
        <v>1790</v>
      </c>
      <c r="I198" s="379">
        <v>920</v>
      </c>
      <c r="J198" s="379">
        <v>1.1299999999999999</v>
      </c>
      <c r="K198" s="379"/>
      <c r="L198" s="379"/>
      <c r="M198" s="379"/>
      <c r="N198" s="379" t="s">
        <v>640</v>
      </c>
      <c r="O198" s="383">
        <f t="shared" si="28"/>
        <v>146</v>
      </c>
    </row>
    <row r="199" spans="1:15" ht="27">
      <c r="A199" s="378">
        <f t="shared" si="26"/>
        <v>147</v>
      </c>
      <c r="B199" s="384" t="str">
        <f t="shared" si="29"/>
        <v>AF147</v>
      </c>
      <c r="C199" s="380" t="s">
        <v>844</v>
      </c>
      <c r="D199" s="379"/>
      <c r="E199" s="381">
        <f t="shared" si="25"/>
        <v>0.26548672566371684</v>
      </c>
      <c r="F199" s="382">
        <f t="shared" si="27"/>
        <v>115.5</v>
      </c>
      <c r="G199" s="379">
        <v>300</v>
      </c>
      <c r="H199" s="379">
        <v>1790</v>
      </c>
      <c r="I199" s="379">
        <v>920</v>
      </c>
      <c r="J199" s="379">
        <v>1.1299999999999999</v>
      </c>
      <c r="K199" s="379"/>
      <c r="L199" s="379"/>
      <c r="M199" s="379"/>
      <c r="N199" s="379" t="s">
        <v>640</v>
      </c>
      <c r="O199" s="383">
        <f t="shared" si="28"/>
        <v>147</v>
      </c>
    </row>
    <row r="200" spans="1:15" ht="27">
      <c r="A200" s="378">
        <f t="shared" si="26"/>
        <v>148</v>
      </c>
      <c r="B200" s="384" t="str">
        <f t="shared" si="29"/>
        <v>AF148</v>
      </c>
      <c r="C200" s="380" t="s">
        <v>845</v>
      </c>
      <c r="D200" s="379"/>
      <c r="E200" s="381">
        <f t="shared" ref="E200:E211" si="30">1/J200*(G200/1000)</f>
        <v>0.26548672566371684</v>
      </c>
      <c r="F200" s="382">
        <f t="shared" si="27"/>
        <v>116.5</v>
      </c>
      <c r="G200" s="379">
        <v>300</v>
      </c>
      <c r="H200" s="379">
        <v>1790</v>
      </c>
      <c r="I200" s="379">
        <v>920</v>
      </c>
      <c r="J200" s="379">
        <v>1.1299999999999999</v>
      </c>
      <c r="K200" s="379"/>
      <c r="L200" s="379"/>
      <c r="M200" s="379"/>
      <c r="N200" s="379" t="s">
        <v>640</v>
      </c>
      <c r="O200" s="383">
        <f t="shared" si="28"/>
        <v>148</v>
      </c>
    </row>
    <row r="201" spans="1:15" ht="15">
      <c r="A201" s="378">
        <f t="shared" si="26"/>
        <v>149</v>
      </c>
      <c r="B201" s="384" t="str">
        <f t="shared" si="29"/>
        <v>AF149</v>
      </c>
      <c r="C201" s="380" t="s">
        <v>846</v>
      </c>
      <c r="D201" s="379"/>
      <c r="E201" s="381">
        <f t="shared" si="30"/>
        <v>0.45454545454545453</v>
      </c>
      <c r="F201" s="382">
        <f t="shared" si="27"/>
        <v>117.5</v>
      </c>
      <c r="G201" s="379">
        <v>150</v>
      </c>
      <c r="H201" s="379">
        <v>1390</v>
      </c>
      <c r="I201" s="379">
        <v>880</v>
      </c>
      <c r="J201" s="379">
        <v>0.33</v>
      </c>
      <c r="K201" s="379"/>
      <c r="L201" s="379"/>
      <c r="M201" s="379"/>
      <c r="N201" s="379" t="s">
        <v>640</v>
      </c>
      <c r="O201" s="383">
        <f t="shared" si="28"/>
        <v>149</v>
      </c>
    </row>
    <row r="202" spans="1:15" ht="27">
      <c r="A202" s="378">
        <f t="shared" si="26"/>
        <v>150</v>
      </c>
      <c r="B202" s="384" t="str">
        <f t="shared" si="29"/>
        <v>AF150</v>
      </c>
      <c r="C202" s="380" t="s">
        <v>847</v>
      </c>
      <c r="D202" s="379"/>
      <c r="E202" s="381">
        <f t="shared" si="30"/>
        <v>0.45454545454545453</v>
      </c>
      <c r="F202" s="382">
        <f t="shared" si="27"/>
        <v>118.5</v>
      </c>
      <c r="G202" s="379">
        <v>150</v>
      </c>
      <c r="H202" s="379">
        <v>1390</v>
      </c>
      <c r="I202" s="379">
        <v>880</v>
      </c>
      <c r="J202" s="379">
        <v>0.33</v>
      </c>
      <c r="K202" s="379"/>
      <c r="L202" s="379"/>
      <c r="M202" s="379"/>
      <c r="N202" s="379" t="s">
        <v>640</v>
      </c>
      <c r="O202" s="383">
        <f t="shared" si="28"/>
        <v>150</v>
      </c>
    </row>
    <row r="203" spans="1:15" ht="15">
      <c r="A203" s="378">
        <f t="shared" si="26"/>
        <v>151</v>
      </c>
      <c r="B203" s="384" t="str">
        <f t="shared" si="29"/>
        <v>AF151</v>
      </c>
      <c r="C203" s="380" t="s">
        <v>848</v>
      </c>
      <c r="D203" s="379"/>
      <c r="E203" s="381">
        <f t="shared" si="30"/>
        <v>0.60606060606060608</v>
      </c>
      <c r="F203" s="382">
        <f t="shared" si="27"/>
        <v>119.5</v>
      </c>
      <c r="G203" s="379">
        <v>200</v>
      </c>
      <c r="H203" s="379">
        <v>1380</v>
      </c>
      <c r="I203" s="379">
        <v>880</v>
      </c>
      <c r="J203" s="379">
        <v>0.33</v>
      </c>
      <c r="K203" s="379"/>
      <c r="L203" s="379"/>
      <c r="M203" s="379"/>
      <c r="N203" s="379" t="s">
        <v>640</v>
      </c>
      <c r="O203" s="383">
        <f t="shared" si="28"/>
        <v>151</v>
      </c>
    </row>
    <row r="204" spans="1:15" ht="15">
      <c r="A204" s="378">
        <f t="shared" si="26"/>
        <v>152</v>
      </c>
      <c r="B204" s="384" t="str">
        <f t="shared" si="29"/>
        <v>AF152</v>
      </c>
      <c r="C204" s="380" t="s">
        <v>849</v>
      </c>
      <c r="D204" s="379"/>
      <c r="E204" s="381">
        <f t="shared" si="30"/>
        <v>0.60606060606060608</v>
      </c>
      <c r="F204" s="382">
        <f t="shared" si="27"/>
        <v>120.5</v>
      </c>
      <c r="G204" s="379">
        <v>200</v>
      </c>
      <c r="H204" s="379">
        <v>1380</v>
      </c>
      <c r="I204" s="379">
        <v>880</v>
      </c>
      <c r="J204" s="379">
        <v>0.33</v>
      </c>
      <c r="K204" s="379"/>
      <c r="L204" s="379"/>
      <c r="M204" s="379"/>
      <c r="N204" s="379" t="s">
        <v>640</v>
      </c>
      <c r="O204" s="383">
        <f t="shared" si="28"/>
        <v>152</v>
      </c>
    </row>
    <row r="205" spans="1:15" ht="15">
      <c r="A205" s="378">
        <f t="shared" si="26"/>
        <v>153</v>
      </c>
      <c r="B205" s="384" t="str">
        <f t="shared" si="29"/>
        <v>AF153</v>
      </c>
      <c r="C205" s="380" t="s">
        <v>850</v>
      </c>
      <c r="D205" s="379"/>
      <c r="E205" s="381">
        <f t="shared" si="30"/>
        <v>0.60606060606060608</v>
      </c>
      <c r="F205" s="382">
        <f t="shared" si="27"/>
        <v>121.5</v>
      </c>
      <c r="G205" s="379">
        <v>200</v>
      </c>
      <c r="H205" s="379">
        <v>1380</v>
      </c>
      <c r="I205" s="379">
        <v>880</v>
      </c>
      <c r="J205" s="379">
        <v>0.33</v>
      </c>
      <c r="K205" s="379"/>
      <c r="L205" s="379"/>
      <c r="M205" s="379"/>
      <c r="N205" s="379" t="s">
        <v>640</v>
      </c>
      <c r="O205" s="383">
        <f t="shared" si="28"/>
        <v>153</v>
      </c>
    </row>
    <row r="206" spans="1:15" ht="27">
      <c r="A206" s="378">
        <f t="shared" si="26"/>
        <v>154</v>
      </c>
      <c r="B206" s="384" t="str">
        <f t="shared" si="29"/>
        <v>AF154</v>
      </c>
      <c r="C206" s="380" t="s">
        <v>851</v>
      </c>
      <c r="D206" s="379"/>
      <c r="E206" s="381">
        <f t="shared" si="30"/>
        <v>0.60606060606060608</v>
      </c>
      <c r="F206" s="382">
        <f t="shared" si="27"/>
        <v>122.5</v>
      </c>
      <c r="G206" s="379">
        <v>200</v>
      </c>
      <c r="H206" s="379">
        <v>1380</v>
      </c>
      <c r="I206" s="379">
        <v>880</v>
      </c>
      <c r="J206" s="379">
        <v>0.33</v>
      </c>
      <c r="K206" s="379"/>
      <c r="L206" s="379"/>
      <c r="M206" s="379"/>
      <c r="N206" s="379" t="s">
        <v>640</v>
      </c>
      <c r="O206" s="383">
        <f t="shared" si="28"/>
        <v>154</v>
      </c>
    </row>
    <row r="207" spans="1:15" ht="15">
      <c r="A207" s="378">
        <f t="shared" si="26"/>
        <v>155</v>
      </c>
      <c r="B207" s="384" t="str">
        <f t="shared" si="29"/>
        <v>AF155</v>
      </c>
      <c r="C207" s="380" t="s">
        <v>852</v>
      </c>
      <c r="D207" s="379"/>
      <c r="E207" s="381">
        <f t="shared" si="30"/>
        <v>0.60606060606060608</v>
      </c>
      <c r="F207" s="382">
        <f t="shared" si="27"/>
        <v>123.5</v>
      </c>
      <c r="G207" s="379">
        <v>200</v>
      </c>
      <c r="H207" s="379">
        <v>1380</v>
      </c>
      <c r="I207" s="379">
        <v>880</v>
      </c>
      <c r="J207" s="379">
        <v>0.33</v>
      </c>
      <c r="K207" s="379"/>
      <c r="L207" s="379"/>
      <c r="M207" s="379"/>
      <c r="N207" s="379" t="s">
        <v>640</v>
      </c>
      <c r="O207" s="383">
        <f t="shared" si="28"/>
        <v>155</v>
      </c>
    </row>
    <row r="208" spans="1:15" ht="27">
      <c r="A208" s="378">
        <f t="shared" si="26"/>
        <v>156</v>
      </c>
      <c r="B208" s="384" t="str">
        <f t="shared" si="29"/>
        <v>AF156</v>
      </c>
      <c r="C208" s="380" t="s">
        <v>853</v>
      </c>
      <c r="D208" s="379"/>
      <c r="E208" s="381">
        <f t="shared" si="30"/>
        <v>0.60606060606060608</v>
      </c>
      <c r="F208" s="382">
        <f t="shared" si="27"/>
        <v>124.5</v>
      </c>
      <c r="G208" s="379">
        <v>200</v>
      </c>
      <c r="H208" s="379">
        <v>1380</v>
      </c>
      <c r="I208" s="379">
        <v>880</v>
      </c>
      <c r="J208" s="379">
        <v>0.33</v>
      </c>
      <c r="K208" s="379"/>
      <c r="L208" s="379"/>
      <c r="M208" s="379"/>
      <c r="N208" s="379" t="s">
        <v>640</v>
      </c>
      <c r="O208" s="383">
        <f t="shared" si="28"/>
        <v>156</v>
      </c>
    </row>
    <row r="209" spans="1:15" ht="15">
      <c r="A209" s="378">
        <f t="shared" si="26"/>
        <v>157</v>
      </c>
      <c r="B209" s="384" t="str">
        <f t="shared" si="29"/>
        <v>AF157</v>
      </c>
      <c r="C209" s="380" t="s">
        <v>854</v>
      </c>
      <c r="D209" s="379"/>
      <c r="E209" s="381">
        <f t="shared" si="30"/>
        <v>0.90909090909090906</v>
      </c>
      <c r="F209" s="382">
        <f t="shared" si="27"/>
        <v>125.5</v>
      </c>
      <c r="G209" s="379">
        <v>300</v>
      </c>
      <c r="H209" s="379">
        <v>1440</v>
      </c>
      <c r="I209" s="379">
        <v>880</v>
      </c>
      <c r="J209" s="379">
        <v>0.33</v>
      </c>
      <c r="K209" s="379"/>
      <c r="L209" s="379"/>
      <c r="M209" s="379"/>
      <c r="N209" s="379" t="s">
        <v>640</v>
      </c>
      <c r="O209" s="383">
        <f t="shared" si="28"/>
        <v>157</v>
      </c>
    </row>
    <row r="210" spans="1:15" ht="27">
      <c r="A210" s="378">
        <f t="shared" si="26"/>
        <v>158</v>
      </c>
      <c r="B210" s="384" t="str">
        <f t="shared" si="29"/>
        <v>AF158</v>
      </c>
      <c r="C210" s="380" t="s">
        <v>855</v>
      </c>
      <c r="D210" s="379"/>
      <c r="E210" s="381">
        <f t="shared" si="30"/>
        <v>0.90909090909090906</v>
      </c>
      <c r="F210" s="382">
        <f t="shared" si="27"/>
        <v>126.5</v>
      </c>
      <c r="G210" s="379">
        <v>300</v>
      </c>
      <c r="H210" s="379">
        <v>1440</v>
      </c>
      <c r="I210" s="379">
        <v>880</v>
      </c>
      <c r="J210" s="379">
        <v>0.33</v>
      </c>
      <c r="K210" s="379"/>
      <c r="L210" s="379"/>
      <c r="M210" s="379"/>
      <c r="N210" s="379" t="s">
        <v>640</v>
      </c>
      <c r="O210" s="383">
        <f t="shared" si="28"/>
        <v>158</v>
      </c>
    </row>
    <row r="211" spans="1:15" ht="27">
      <c r="A211" s="378">
        <f t="shared" si="26"/>
        <v>159</v>
      </c>
      <c r="B211" s="384" t="str">
        <f t="shared" si="29"/>
        <v>AF159</v>
      </c>
      <c r="C211" s="380" t="s">
        <v>856</v>
      </c>
      <c r="D211" s="379"/>
      <c r="E211" s="381">
        <f t="shared" si="30"/>
        <v>0.90909090909090906</v>
      </c>
      <c r="F211" s="382">
        <f t="shared" si="27"/>
        <v>127.5</v>
      </c>
      <c r="G211" s="379">
        <v>300</v>
      </c>
      <c r="H211" s="379"/>
      <c r="I211" s="379" t="s">
        <v>857</v>
      </c>
      <c r="J211" s="379">
        <v>0.33</v>
      </c>
      <c r="K211" s="379"/>
      <c r="L211" s="379"/>
      <c r="M211" s="379"/>
      <c r="N211" s="379" t="s">
        <v>640</v>
      </c>
      <c r="O211" s="383">
        <f t="shared" si="28"/>
        <v>159</v>
      </c>
    </row>
    <row r="212" spans="1:15" ht="15">
      <c r="A212" s="378">
        <f t="shared" si="26"/>
        <v>160</v>
      </c>
      <c r="B212" s="379" t="s">
        <v>505</v>
      </c>
      <c r="C212" s="380" t="s">
        <v>510</v>
      </c>
      <c r="D212" s="379"/>
      <c r="E212" s="385"/>
      <c r="F212" s="382">
        <f t="shared" si="27"/>
        <v>128.5</v>
      </c>
      <c r="G212" s="379">
        <v>19</v>
      </c>
      <c r="H212" s="379">
        <v>640</v>
      </c>
      <c r="I212" s="379">
        <v>1048</v>
      </c>
      <c r="J212" s="379">
        <v>0.186</v>
      </c>
      <c r="K212" s="379">
        <v>0.9</v>
      </c>
      <c r="L212" s="379">
        <v>0.7</v>
      </c>
      <c r="M212" s="379">
        <v>0.7</v>
      </c>
      <c r="N212" s="379" t="s">
        <v>633</v>
      </c>
      <c r="O212" s="383">
        <f t="shared" si="28"/>
        <v>160</v>
      </c>
    </row>
    <row r="213" spans="1:15" ht="15">
      <c r="A213" s="378">
        <f t="shared" si="26"/>
        <v>161</v>
      </c>
      <c r="B213" s="379" t="s">
        <v>507</v>
      </c>
      <c r="C213" s="380" t="s">
        <v>508</v>
      </c>
      <c r="D213" s="379"/>
      <c r="E213" s="385"/>
      <c r="F213" s="382">
        <f t="shared" si="27"/>
        <v>129.5</v>
      </c>
      <c r="G213" s="379">
        <v>83</v>
      </c>
      <c r="H213" s="379">
        <v>119.63</v>
      </c>
      <c r="I213" s="379">
        <v>1048</v>
      </c>
      <c r="J213" s="379">
        <v>4.9000000000000002E-2</v>
      </c>
      <c r="K213" s="379">
        <v>0.9</v>
      </c>
      <c r="L213" s="379">
        <v>0.7</v>
      </c>
      <c r="M213" s="379">
        <v>0.7</v>
      </c>
      <c r="N213" s="379" t="s">
        <v>633</v>
      </c>
      <c r="O213" s="383">
        <f t="shared" si="28"/>
        <v>161</v>
      </c>
    </row>
    <row r="214" spans="1:15" ht="15">
      <c r="A214" s="378">
        <f t="shared" ref="A214:A244" si="31">A213+1</f>
        <v>162</v>
      </c>
      <c r="B214" s="379" t="s">
        <v>509</v>
      </c>
      <c r="C214" s="380" t="s">
        <v>506</v>
      </c>
      <c r="D214" s="379"/>
      <c r="E214" s="385"/>
      <c r="F214" s="382">
        <f t="shared" ref="F214:F244" si="32">F213+1</f>
        <v>130.5</v>
      </c>
      <c r="G214" s="379">
        <v>25</v>
      </c>
      <c r="H214" s="379">
        <v>508.45</v>
      </c>
      <c r="I214" s="379">
        <v>1048</v>
      </c>
      <c r="J214" s="379">
        <v>0.124</v>
      </c>
      <c r="K214" s="379">
        <v>0.9</v>
      </c>
      <c r="L214" s="379">
        <v>0.7</v>
      </c>
      <c r="M214" s="379">
        <v>0.7</v>
      </c>
      <c r="N214" s="379" t="s">
        <v>633</v>
      </c>
      <c r="O214" s="383">
        <f t="shared" ref="O214:O244" si="33">O213+1</f>
        <v>162</v>
      </c>
    </row>
    <row r="215" spans="1:15" ht="15">
      <c r="A215" s="378">
        <f t="shared" si="31"/>
        <v>163</v>
      </c>
      <c r="B215" s="379" t="s">
        <v>512</v>
      </c>
      <c r="C215" s="380" t="s">
        <v>517</v>
      </c>
      <c r="D215" s="379"/>
      <c r="E215" s="385"/>
      <c r="F215" s="382">
        <f t="shared" si="32"/>
        <v>131.5</v>
      </c>
      <c r="G215" s="379">
        <v>19</v>
      </c>
      <c r="H215" s="379">
        <v>640</v>
      </c>
      <c r="I215" s="379">
        <v>1006</v>
      </c>
      <c r="J215" s="379">
        <v>0.13700000000000001</v>
      </c>
      <c r="K215" s="379">
        <v>0.9</v>
      </c>
      <c r="L215" s="379">
        <v>0.7</v>
      </c>
      <c r="M215" s="379">
        <v>0.7</v>
      </c>
      <c r="N215" s="379" t="s">
        <v>633</v>
      </c>
      <c r="O215" s="383">
        <f t="shared" si="33"/>
        <v>163</v>
      </c>
    </row>
    <row r="216" spans="1:15" ht="15">
      <c r="A216" s="378">
        <f t="shared" si="31"/>
        <v>164</v>
      </c>
      <c r="B216" s="379" t="s">
        <v>514</v>
      </c>
      <c r="C216" s="380" t="s">
        <v>515</v>
      </c>
      <c r="D216" s="379"/>
      <c r="E216" s="386"/>
      <c r="F216" s="382">
        <f t="shared" si="32"/>
        <v>132.5</v>
      </c>
      <c r="G216" s="379">
        <v>133</v>
      </c>
      <c r="H216" s="379">
        <v>93.84</v>
      </c>
      <c r="I216" s="379">
        <v>1006</v>
      </c>
      <c r="J216" s="379">
        <v>4.7E-2</v>
      </c>
      <c r="K216" s="379">
        <v>0.9</v>
      </c>
      <c r="L216" s="379">
        <v>0.7</v>
      </c>
      <c r="M216" s="379">
        <v>0.7</v>
      </c>
      <c r="N216" s="379" t="s">
        <v>633</v>
      </c>
      <c r="O216" s="383">
        <f t="shared" si="33"/>
        <v>164</v>
      </c>
    </row>
    <row r="217" spans="1:15" ht="15">
      <c r="A217" s="378">
        <f t="shared" si="31"/>
        <v>165</v>
      </c>
      <c r="B217" s="379" t="s">
        <v>516</v>
      </c>
      <c r="C217" s="380" t="s">
        <v>513</v>
      </c>
      <c r="D217" s="379"/>
      <c r="E217" s="386"/>
      <c r="F217" s="382">
        <f t="shared" si="32"/>
        <v>133.5</v>
      </c>
      <c r="G217" s="379">
        <v>25</v>
      </c>
      <c r="H217" s="379">
        <v>492.67</v>
      </c>
      <c r="I217" s="379">
        <v>1006</v>
      </c>
      <c r="J217" s="379">
        <v>0.246</v>
      </c>
      <c r="K217" s="379">
        <v>0.9</v>
      </c>
      <c r="L217" s="379">
        <v>0.7</v>
      </c>
      <c r="M217" s="379">
        <v>0.7</v>
      </c>
      <c r="N217" s="379" t="s">
        <v>633</v>
      </c>
      <c r="O217" s="383">
        <f t="shared" si="33"/>
        <v>165</v>
      </c>
    </row>
    <row r="218" spans="1:15" ht="15">
      <c r="A218" s="378">
        <f t="shared" si="31"/>
        <v>166</v>
      </c>
      <c r="B218" s="379" t="s">
        <v>519</v>
      </c>
      <c r="C218" s="380" t="s">
        <v>524</v>
      </c>
      <c r="D218" s="379"/>
      <c r="E218" s="386"/>
      <c r="F218" s="382">
        <f t="shared" si="32"/>
        <v>134.5</v>
      </c>
      <c r="G218" s="379">
        <v>89</v>
      </c>
      <c r="H218" s="379">
        <v>1110</v>
      </c>
      <c r="I218" s="379">
        <v>1048</v>
      </c>
      <c r="J218" s="379">
        <v>7.9000000000000001E-2</v>
      </c>
      <c r="K218" s="379">
        <v>0.9</v>
      </c>
      <c r="L218" s="379">
        <v>0.7</v>
      </c>
      <c r="M218" s="379">
        <v>0.7</v>
      </c>
      <c r="N218" s="379" t="s">
        <v>646</v>
      </c>
      <c r="O218" s="383">
        <f t="shared" si="33"/>
        <v>166</v>
      </c>
    </row>
    <row r="219" spans="1:15" ht="15">
      <c r="A219" s="378">
        <f t="shared" si="31"/>
        <v>167</v>
      </c>
      <c r="B219" s="379" t="s">
        <v>521</v>
      </c>
      <c r="C219" s="380" t="s">
        <v>522</v>
      </c>
      <c r="D219" s="379"/>
      <c r="E219" s="386"/>
      <c r="F219" s="382">
        <f t="shared" si="32"/>
        <v>135.5</v>
      </c>
      <c r="G219" s="379">
        <v>95</v>
      </c>
      <c r="H219" s="379">
        <v>1552.01</v>
      </c>
      <c r="I219" s="379">
        <v>880</v>
      </c>
      <c r="J219" s="379">
        <v>0.499</v>
      </c>
      <c r="K219" s="379">
        <v>0.9</v>
      </c>
      <c r="L219" s="379">
        <v>0.7</v>
      </c>
      <c r="M219" s="379">
        <v>0.7</v>
      </c>
      <c r="N219" s="379" t="s">
        <v>633</v>
      </c>
      <c r="O219" s="383">
        <f t="shared" si="33"/>
        <v>167</v>
      </c>
    </row>
    <row r="220" spans="1:15" ht="15">
      <c r="A220" s="378">
        <f t="shared" si="31"/>
        <v>168</v>
      </c>
      <c r="B220" s="379" t="s">
        <v>523</v>
      </c>
      <c r="C220" s="380" t="s">
        <v>520</v>
      </c>
      <c r="D220" s="379"/>
      <c r="E220" s="386"/>
      <c r="F220" s="382">
        <f t="shared" si="32"/>
        <v>136.5</v>
      </c>
      <c r="G220" s="379">
        <v>89</v>
      </c>
      <c r="H220" s="379">
        <v>832.5</v>
      </c>
      <c r="I220" s="379">
        <v>1048</v>
      </c>
      <c r="J220" s="379">
        <v>0.13400000000000001</v>
      </c>
      <c r="K220" s="379">
        <v>0.9</v>
      </c>
      <c r="L220" s="379">
        <v>0.7</v>
      </c>
      <c r="M220" s="379">
        <v>0.7</v>
      </c>
      <c r="N220" s="379" t="s">
        <v>633</v>
      </c>
      <c r="O220" s="383">
        <f t="shared" si="33"/>
        <v>168</v>
      </c>
    </row>
    <row r="221" spans="1:15" ht="15">
      <c r="A221" s="378">
        <f t="shared" si="31"/>
        <v>169</v>
      </c>
      <c r="B221" s="379" t="s">
        <v>526</v>
      </c>
      <c r="C221" s="380" t="s">
        <v>531</v>
      </c>
      <c r="D221" s="379"/>
      <c r="E221" s="386"/>
      <c r="F221" s="382">
        <f t="shared" si="32"/>
        <v>137.5</v>
      </c>
      <c r="G221" s="379">
        <v>64</v>
      </c>
      <c r="H221" s="379">
        <v>2213.25</v>
      </c>
      <c r="I221" s="379">
        <v>964</v>
      </c>
      <c r="J221" s="379">
        <v>1.329</v>
      </c>
      <c r="K221" s="379">
        <v>0.9</v>
      </c>
      <c r="L221" s="379">
        <v>0.7</v>
      </c>
      <c r="M221" s="379">
        <v>0.7</v>
      </c>
      <c r="N221" s="379" t="s">
        <v>649</v>
      </c>
      <c r="O221" s="383">
        <f t="shared" si="33"/>
        <v>169</v>
      </c>
    </row>
    <row r="222" spans="1:15" ht="15">
      <c r="A222" s="378">
        <f t="shared" si="31"/>
        <v>170</v>
      </c>
      <c r="B222" s="379" t="s">
        <v>528</v>
      </c>
      <c r="C222" s="380" t="s">
        <v>529</v>
      </c>
      <c r="D222" s="379"/>
      <c r="E222" s="386"/>
      <c r="F222" s="382">
        <f t="shared" si="32"/>
        <v>138.5</v>
      </c>
      <c r="G222" s="379">
        <v>76</v>
      </c>
      <c r="H222" s="379">
        <v>41.53</v>
      </c>
      <c r="I222" s="379">
        <v>1173</v>
      </c>
      <c r="J222" s="379">
        <v>6.0999999999999999E-2</v>
      </c>
      <c r="K222" s="379">
        <v>0.9</v>
      </c>
      <c r="L222" s="379">
        <v>0.7</v>
      </c>
      <c r="M222" s="379">
        <v>0.7</v>
      </c>
      <c r="N222" s="379" t="s">
        <v>633</v>
      </c>
      <c r="O222" s="383">
        <f t="shared" si="33"/>
        <v>170</v>
      </c>
    </row>
    <row r="223" spans="1:15" ht="15">
      <c r="A223" s="378">
        <f t="shared" si="31"/>
        <v>171</v>
      </c>
      <c r="B223" s="379" t="s">
        <v>530</v>
      </c>
      <c r="C223" s="380" t="s">
        <v>527</v>
      </c>
      <c r="D223" s="379"/>
      <c r="E223" s="386"/>
      <c r="F223" s="382">
        <f t="shared" si="32"/>
        <v>139.5</v>
      </c>
      <c r="G223" s="379">
        <v>64</v>
      </c>
      <c r="H223" s="379">
        <v>2185.44</v>
      </c>
      <c r="I223" s="379">
        <v>1173</v>
      </c>
      <c r="J223" s="379">
        <v>1.0780000000000001</v>
      </c>
      <c r="K223" s="379">
        <v>0.9</v>
      </c>
      <c r="L223" s="379">
        <v>0.7</v>
      </c>
      <c r="M223" s="379">
        <v>0.7</v>
      </c>
      <c r="N223" s="379" t="s">
        <v>649</v>
      </c>
      <c r="O223" s="383">
        <f t="shared" si="33"/>
        <v>171</v>
      </c>
    </row>
    <row r="224" spans="1:15" ht="15">
      <c r="A224" s="378">
        <f t="shared" si="31"/>
        <v>172</v>
      </c>
      <c r="B224" s="379" t="s">
        <v>533</v>
      </c>
      <c r="C224" s="380" t="s">
        <v>538</v>
      </c>
      <c r="D224" s="379"/>
      <c r="E224" s="386"/>
      <c r="F224" s="382">
        <f t="shared" si="32"/>
        <v>140.5</v>
      </c>
      <c r="G224" s="379">
        <v>70</v>
      </c>
      <c r="H224" s="379">
        <v>2240</v>
      </c>
      <c r="I224" s="379">
        <v>901</v>
      </c>
      <c r="J224" s="379">
        <v>1.2010000000000001</v>
      </c>
      <c r="K224" s="379">
        <v>0.9</v>
      </c>
      <c r="L224" s="379">
        <v>0.7</v>
      </c>
      <c r="M224" s="379">
        <v>0.7</v>
      </c>
      <c r="N224" s="379" t="s">
        <v>649</v>
      </c>
      <c r="O224" s="383">
        <f t="shared" si="33"/>
        <v>172</v>
      </c>
    </row>
    <row r="225" spans="1:15" ht="15">
      <c r="A225" s="378">
        <f t="shared" si="31"/>
        <v>173</v>
      </c>
      <c r="B225" s="379" t="s">
        <v>535</v>
      </c>
      <c r="C225" s="380" t="s">
        <v>536</v>
      </c>
      <c r="D225" s="379"/>
      <c r="E225" s="386"/>
      <c r="F225" s="382">
        <f t="shared" si="32"/>
        <v>141.5</v>
      </c>
      <c r="G225" s="379">
        <v>64</v>
      </c>
      <c r="H225" s="379">
        <v>43.16</v>
      </c>
      <c r="I225" s="379">
        <v>1173</v>
      </c>
      <c r="J225" s="379">
        <v>3.5999999999999997E-2</v>
      </c>
      <c r="K225" s="379">
        <v>0.9</v>
      </c>
      <c r="L225" s="379">
        <v>0.7</v>
      </c>
      <c r="M225" s="379">
        <v>0.7</v>
      </c>
      <c r="N225" s="379" t="s">
        <v>633</v>
      </c>
      <c r="O225" s="383">
        <f t="shared" si="33"/>
        <v>173</v>
      </c>
    </row>
    <row r="226" spans="1:15" ht="15">
      <c r="A226" s="378">
        <f t="shared" si="31"/>
        <v>174</v>
      </c>
      <c r="B226" s="379" t="s">
        <v>537</v>
      </c>
      <c r="C226" s="380" t="s">
        <v>534</v>
      </c>
      <c r="D226" s="379"/>
      <c r="E226" s="386"/>
      <c r="F226" s="382">
        <f t="shared" si="32"/>
        <v>142.5</v>
      </c>
      <c r="G226" s="379">
        <v>70</v>
      </c>
      <c r="H226" s="379">
        <v>2153.4899999999998</v>
      </c>
      <c r="I226" s="379">
        <v>1048</v>
      </c>
      <c r="J226" s="379">
        <v>1.361</v>
      </c>
      <c r="K226" s="379">
        <v>0.9</v>
      </c>
      <c r="L226" s="379">
        <v>0.7</v>
      </c>
      <c r="M226" s="379">
        <v>0.7</v>
      </c>
      <c r="N226" s="379" t="s">
        <v>649</v>
      </c>
      <c r="O226" s="383">
        <f t="shared" si="33"/>
        <v>174</v>
      </c>
    </row>
    <row r="227" spans="1:15" ht="15">
      <c r="A227" s="378">
        <f t="shared" si="31"/>
        <v>175</v>
      </c>
      <c r="B227" s="379" t="s">
        <v>540</v>
      </c>
      <c r="C227" s="380" t="s">
        <v>545</v>
      </c>
      <c r="D227" s="379"/>
      <c r="E227" s="386"/>
      <c r="F227" s="382">
        <f t="shared" si="32"/>
        <v>143.5</v>
      </c>
      <c r="G227" s="379">
        <v>13</v>
      </c>
      <c r="H227" s="379">
        <v>640</v>
      </c>
      <c r="I227" s="379">
        <v>1048</v>
      </c>
      <c r="J227" s="379">
        <v>0.72</v>
      </c>
      <c r="K227" s="379">
        <v>0.9</v>
      </c>
      <c r="L227" s="379">
        <v>0.7</v>
      </c>
      <c r="M227" s="379">
        <v>0.7</v>
      </c>
      <c r="N227" s="379" t="s">
        <v>633</v>
      </c>
      <c r="O227" s="383">
        <f t="shared" si="33"/>
        <v>175</v>
      </c>
    </row>
    <row r="228" spans="1:15" ht="15">
      <c r="A228" s="378">
        <f t="shared" si="31"/>
        <v>176</v>
      </c>
      <c r="B228" s="379" t="s">
        <v>542</v>
      </c>
      <c r="C228" s="380" t="s">
        <v>543</v>
      </c>
      <c r="D228" s="379"/>
      <c r="E228" s="386"/>
      <c r="F228" s="382">
        <f t="shared" si="32"/>
        <v>144.5</v>
      </c>
      <c r="G228" s="379">
        <v>89</v>
      </c>
      <c r="H228" s="379">
        <v>118.223</v>
      </c>
      <c r="I228" s="379">
        <v>1048</v>
      </c>
      <c r="J228" s="379">
        <v>0.06</v>
      </c>
      <c r="K228" s="379">
        <v>0.9</v>
      </c>
      <c r="L228" s="379">
        <v>0.7</v>
      </c>
      <c r="M228" s="379">
        <v>0.7</v>
      </c>
      <c r="N228" s="379" t="s">
        <v>633</v>
      </c>
      <c r="O228" s="383">
        <f t="shared" si="33"/>
        <v>176</v>
      </c>
    </row>
    <row r="229" spans="1:15" ht="15">
      <c r="A229" s="378">
        <f t="shared" si="31"/>
        <v>177</v>
      </c>
      <c r="B229" s="379" t="s">
        <v>544</v>
      </c>
      <c r="C229" s="380" t="s">
        <v>541</v>
      </c>
      <c r="D229" s="379"/>
      <c r="E229" s="386"/>
      <c r="F229" s="382">
        <f t="shared" si="32"/>
        <v>145.5</v>
      </c>
      <c r="G229" s="379">
        <v>25</v>
      </c>
      <c r="H229" s="379">
        <v>413.78199999999998</v>
      </c>
      <c r="I229" s="379">
        <v>1048</v>
      </c>
      <c r="J229" s="379">
        <v>0.45200000000000001</v>
      </c>
      <c r="K229" s="379">
        <v>0.9</v>
      </c>
      <c r="L229" s="379">
        <v>0.7</v>
      </c>
      <c r="M229" s="379">
        <v>0.7</v>
      </c>
      <c r="N229" s="379" t="s">
        <v>633</v>
      </c>
      <c r="O229" s="383">
        <f t="shared" si="33"/>
        <v>177</v>
      </c>
    </row>
    <row r="230" spans="1:15" ht="15">
      <c r="A230" s="378">
        <f t="shared" si="31"/>
        <v>178</v>
      </c>
      <c r="B230" s="379" t="s">
        <v>547</v>
      </c>
      <c r="C230" s="380" t="s">
        <v>552</v>
      </c>
      <c r="D230" s="379"/>
      <c r="E230" s="386"/>
      <c r="F230" s="382">
        <f t="shared" si="32"/>
        <v>146.5</v>
      </c>
      <c r="G230" s="379">
        <v>13</v>
      </c>
      <c r="H230" s="379">
        <v>640</v>
      </c>
      <c r="I230" s="379">
        <v>1048</v>
      </c>
      <c r="J230" s="379">
        <v>0.16900000000000001</v>
      </c>
      <c r="K230" s="379">
        <v>0.9</v>
      </c>
      <c r="L230" s="379">
        <v>0.7</v>
      </c>
      <c r="M230" s="379">
        <v>0.7</v>
      </c>
      <c r="N230" s="379" t="s">
        <v>640</v>
      </c>
      <c r="O230" s="383">
        <f t="shared" si="33"/>
        <v>178</v>
      </c>
    </row>
    <row r="231" spans="1:15" ht="15">
      <c r="A231" s="378">
        <f t="shared" si="31"/>
        <v>179</v>
      </c>
      <c r="B231" s="379" t="s">
        <v>549</v>
      </c>
      <c r="C231" s="380" t="s">
        <v>550</v>
      </c>
      <c r="D231" s="379"/>
      <c r="E231" s="386"/>
      <c r="F231" s="382">
        <f t="shared" si="32"/>
        <v>147.5</v>
      </c>
      <c r="G231" s="379">
        <v>127</v>
      </c>
      <c r="H231" s="379">
        <v>57.26</v>
      </c>
      <c r="I231" s="379">
        <v>964</v>
      </c>
      <c r="J231" s="379">
        <v>6.2E-2</v>
      </c>
      <c r="K231" s="379">
        <v>0.9</v>
      </c>
      <c r="L231" s="379">
        <v>0.7</v>
      </c>
      <c r="M231" s="379">
        <v>0.7</v>
      </c>
      <c r="N231" s="379" t="s">
        <v>633</v>
      </c>
      <c r="O231" s="383">
        <f t="shared" si="33"/>
        <v>179</v>
      </c>
    </row>
    <row r="232" spans="1:15" ht="15">
      <c r="A232" s="378">
        <f t="shared" si="31"/>
        <v>180</v>
      </c>
      <c r="B232" s="379" t="s">
        <v>551</v>
      </c>
      <c r="C232" s="380" t="s">
        <v>548</v>
      </c>
      <c r="D232" s="379"/>
      <c r="E232" s="386"/>
      <c r="F232" s="382">
        <f t="shared" si="32"/>
        <v>148.5</v>
      </c>
      <c r="G232" s="379">
        <v>83</v>
      </c>
      <c r="H232" s="379">
        <v>2026.14</v>
      </c>
      <c r="I232" s="379">
        <v>796</v>
      </c>
      <c r="J232" s="379">
        <v>0.63800000000000001</v>
      </c>
      <c r="K232" s="379">
        <v>0.9</v>
      </c>
      <c r="L232" s="379">
        <v>0.7</v>
      </c>
      <c r="M232" s="379">
        <v>0.7</v>
      </c>
      <c r="N232" s="379" t="s">
        <v>633</v>
      </c>
      <c r="O232" s="383">
        <f t="shared" si="33"/>
        <v>180</v>
      </c>
    </row>
    <row r="233" spans="1:15" ht="15">
      <c r="A233" s="378">
        <f t="shared" si="31"/>
        <v>181</v>
      </c>
      <c r="B233" s="379" t="s">
        <v>554</v>
      </c>
      <c r="C233" s="380" t="s">
        <v>559</v>
      </c>
      <c r="D233" s="379"/>
      <c r="E233" s="386"/>
      <c r="F233" s="382">
        <f t="shared" si="32"/>
        <v>149.5</v>
      </c>
      <c r="G233" s="379">
        <v>19</v>
      </c>
      <c r="H233" s="379">
        <v>560</v>
      </c>
      <c r="I233" s="379">
        <v>1006</v>
      </c>
      <c r="J233" s="379">
        <v>0.253</v>
      </c>
      <c r="K233" s="379">
        <v>0.9</v>
      </c>
      <c r="L233" s="379">
        <v>0.7</v>
      </c>
      <c r="M233" s="379">
        <v>0.7</v>
      </c>
      <c r="N233" s="379" t="s">
        <v>633</v>
      </c>
      <c r="O233" s="383">
        <f t="shared" si="33"/>
        <v>181</v>
      </c>
    </row>
    <row r="234" spans="1:15" ht="15">
      <c r="A234" s="378">
        <f t="shared" si="31"/>
        <v>182</v>
      </c>
      <c r="B234" s="379" t="s">
        <v>556</v>
      </c>
      <c r="C234" s="380" t="s">
        <v>557</v>
      </c>
      <c r="D234" s="379"/>
      <c r="E234" s="386"/>
      <c r="F234" s="382">
        <f t="shared" si="32"/>
        <v>150.5</v>
      </c>
      <c r="G234" s="379">
        <v>133</v>
      </c>
      <c r="H234" s="379">
        <v>61.8</v>
      </c>
      <c r="I234" s="379">
        <v>1006</v>
      </c>
      <c r="J234" s="379">
        <v>7.2999999999999995E-2</v>
      </c>
      <c r="K234" s="379">
        <v>0.9</v>
      </c>
      <c r="L234" s="379">
        <v>0.7</v>
      </c>
      <c r="M234" s="379">
        <v>0.7</v>
      </c>
      <c r="N234" s="379" t="s">
        <v>633</v>
      </c>
      <c r="O234" s="383">
        <f t="shared" si="33"/>
        <v>182</v>
      </c>
    </row>
    <row r="235" spans="1:15" ht="15">
      <c r="A235" s="378">
        <f t="shared" si="31"/>
        <v>183</v>
      </c>
      <c r="B235" s="379" t="s">
        <v>558</v>
      </c>
      <c r="C235" s="380" t="s">
        <v>555</v>
      </c>
      <c r="D235" s="379"/>
      <c r="E235" s="386"/>
      <c r="F235" s="382">
        <f t="shared" si="32"/>
        <v>151.5</v>
      </c>
      <c r="G235" s="379">
        <v>25</v>
      </c>
      <c r="H235" s="379">
        <v>486.67</v>
      </c>
      <c r="I235" s="379">
        <v>1006</v>
      </c>
      <c r="J235" s="379">
        <v>0.248</v>
      </c>
      <c r="K235" s="379">
        <v>0.9</v>
      </c>
      <c r="L235" s="379">
        <v>0.7</v>
      </c>
      <c r="M235" s="379">
        <v>0.7</v>
      </c>
      <c r="N235" s="379" t="s">
        <v>633</v>
      </c>
      <c r="O235" s="383">
        <f t="shared" si="33"/>
        <v>183</v>
      </c>
    </row>
    <row r="236" spans="1:15" ht="15">
      <c r="A236" s="378">
        <f t="shared" si="31"/>
        <v>184</v>
      </c>
      <c r="B236" s="379" t="s">
        <v>561</v>
      </c>
      <c r="C236" s="380" t="s">
        <v>570</v>
      </c>
      <c r="D236" s="379"/>
      <c r="E236" s="386"/>
      <c r="F236" s="382">
        <f t="shared" si="32"/>
        <v>152.5</v>
      </c>
      <c r="G236" s="379">
        <v>19</v>
      </c>
      <c r="H236" s="379">
        <v>400</v>
      </c>
      <c r="I236" s="379">
        <v>1006</v>
      </c>
      <c r="J236" s="379">
        <v>0.14899999999999999</v>
      </c>
      <c r="K236" s="379">
        <v>0.9</v>
      </c>
      <c r="L236" s="379">
        <v>0.7</v>
      </c>
      <c r="M236" s="379">
        <v>0.7</v>
      </c>
      <c r="N236" s="379" t="s">
        <v>646</v>
      </c>
      <c r="O236" s="383">
        <f t="shared" si="33"/>
        <v>184</v>
      </c>
    </row>
    <row r="237" spans="1:15" ht="15">
      <c r="A237" s="378">
        <f t="shared" si="31"/>
        <v>185</v>
      </c>
      <c r="B237" s="379" t="s">
        <v>563</v>
      </c>
      <c r="C237" s="380" t="s">
        <v>564</v>
      </c>
      <c r="D237" s="379"/>
      <c r="E237" s="386"/>
      <c r="F237" s="382">
        <f t="shared" si="32"/>
        <v>153.5</v>
      </c>
      <c r="G237" s="379">
        <v>127</v>
      </c>
      <c r="H237" s="379">
        <v>85.95</v>
      </c>
      <c r="I237" s="379">
        <v>964</v>
      </c>
      <c r="J237" s="379">
        <v>5.0999999999999997E-2</v>
      </c>
      <c r="K237" s="379">
        <v>0.9</v>
      </c>
      <c r="L237" s="379">
        <v>0.7</v>
      </c>
      <c r="M237" s="379">
        <v>0.7</v>
      </c>
      <c r="N237" s="379" t="s">
        <v>633</v>
      </c>
      <c r="O237" s="383">
        <f t="shared" si="33"/>
        <v>185</v>
      </c>
    </row>
    <row r="238" spans="1:15" ht="15">
      <c r="A238" s="378">
        <f t="shared" si="31"/>
        <v>186</v>
      </c>
      <c r="B238" s="379" t="s">
        <v>565</v>
      </c>
      <c r="C238" s="380" t="s">
        <v>562</v>
      </c>
      <c r="D238" s="379"/>
      <c r="E238" s="386"/>
      <c r="F238" s="382">
        <f t="shared" si="32"/>
        <v>154.5</v>
      </c>
      <c r="G238" s="379">
        <v>64</v>
      </c>
      <c r="H238" s="379">
        <v>790.7</v>
      </c>
      <c r="I238" s="379">
        <v>838</v>
      </c>
      <c r="J238" s="379">
        <v>1.163</v>
      </c>
      <c r="K238" s="379">
        <v>0.9</v>
      </c>
      <c r="L238" s="379">
        <v>0.7</v>
      </c>
      <c r="M238" s="379">
        <v>0.7</v>
      </c>
      <c r="N238" s="379" t="s">
        <v>633</v>
      </c>
      <c r="O238" s="383">
        <f t="shared" si="33"/>
        <v>186</v>
      </c>
    </row>
    <row r="239" spans="1:15" ht="15">
      <c r="A239" s="378">
        <f t="shared" si="31"/>
        <v>187</v>
      </c>
      <c r="B239" s="379" t="s">
        <v>567</v>
      </c>
      <c r="C239" s="380" t="s">
        <v>577</v>
      </c>
      <c r="D239" s="379"/>
      <c r="E239" s="386"/>
      <c r="F239" s="382">
        <f t="shared" si="32"/>
        <v>155.5</v>
      </c>
      <c r="G239" s="379">
        <v>79</v>
      </c>
      <c r="H239" s="379">
        <v>1731.45</v>
      </c>
      <c r="I239" s="379">
        <v>838</v>
      </c>
      <c r="J239" s="379">
        <v>1.3779999999999999</v>
      </c>
      <c r="K239" s="379">
        <v>0.9</v>
      </c>
      <c r="L239" s="379">
        <v>0.7</v>
      </c>
      <c r="M239" s="379">
        <v>0.7</v>
      </c>
      <c r="N239" s="379" t="s">
        <v>640</v>
      </c>
      <c r="O239" s="383">
        <f t="shared" si="33"/>
        <v>187</v>
      </c>
    </row>
    <row r="240" spans="1:15" ht="15">
      <c r="A240" s="378">
        <f t="shared" si="31"/>
        <v>188</v>
      </c>
      <c r="B240" s="379" t="s">
        <v>568</v>
      </c>
      <c r="C240" s="380" t="s">
        <v>575</v>
      </c>
      <c r="D240" s="379"/>
      <c r="E240" s="386"/>
      <c r="F240" s="382">
        <f t="shared" si="32"/>
        <v>156.5</v>
      </c>
      <c r="G240" s="379">
        <v>127</v>
      </c>
      <c r="H240" s="379">
        <v>1031.57</v>
      </c>
      <c r="I240" s="379">
        <v>419</v>
      </c>
      <c r="J240" s="379">
        <v>1.0649999999999999</v>
      </c>
      <c r="K240" s="379">
        <v>0.9</v>
      </c>
      <c r="L240" s="379">
        <v>0.7</v>
      </c>
      <c r="M240" s="379">
        <v>0.7</v>
      </c>
      <c r="N240" s="379" t="s">
        <v>633</v>
      </c>
      <c r="O240" s="383">
        <f t="shared" si="33"/>
        <v>188</v>
      </c>
    </row>
    <row r="241" spans="1:15" ht="15">
      <c r="A241" s="378">
        <f t="shared" si="31"/>
        <v>189</v>
      </c>
      <c r="B241" s="379" t="s">
        <v>569</v>
      </c>
      <c r="C241" s="380" t="s">
        <v>573</v>
      </c>
      <c r="D241" s="379"/>
      <c r="E241" s="386"/>
      <c r="F241" s="382">
        <f t="shared" si="32"/>
        <v>157.5</v>
      </c>
      <c r="G241" s="379">
        <v>89</v>
      </c>
      <c r="H241" s="379">
        <v>1647.86</v>
      </c>
      <c r="I241" s="379">
        <v>838</v>
      </c>
      <c r="J241" s="379">
        <v>1.4370000000000001</v>
      </c>
      <c r="K241" s="379">
        <v>0.9</v>
      </c>
      <c r="L241" s="379">
        <v>0.7</v>
      </c>
      <c r="M241" s="379">
        <v>0.7</v>
      </c>
      <c r="N241" s="379" t="s">
        <v>640</v>
      </c>
      <c r="O241" s="383">
        <f t="shared" si="33"/>
        <v>189</v>
      </c>
    </row>
    <row r="242" spans="1:15" ht="15">
      <c r="A242" s="378">
        <f t="shared" si="31"/>
        <v>190</v>
      </c>
      <c r="B242" s="379" t="s">
        <v>572</v>
      </c>
      <c r="C242" s="380" t="s">
        <v>858</v>
      </c>
      <c r="D242" s="379"/>
      <c r="E242" s="386"/>
      <c r="F242" s="382">
        <f t="shared" si="32"/>
        <v>158.5</v>
      </c>
      <c r="G242" s="379">
        <v>79</v>
      </c>
      <c r="H242" s="379">
        <v>1774.75</v>
      </c>
      <c r="I242" s="379">
        <v>838</v>
      </c>
      <c r="J242" s="379">
        <v>0.88</v>
      </c>
      <c r="K242" s="379">
        <v>0.9</v>
      </c>
      <c r="L242" s="379">
        <v>0.7</v>
      </c>
      <c r="M242" s="379">
        <v>0.7</v>
      </c>
      <c r="N242" s="379" t="s">
        <v>640</v>
      </c>
      <c r="O242" s="383">
        <f t="shared" si="33"/>
        <v>190</v>
      </c>
    </row>
    <row r="243" spans="1:15" ht="15">
      <c r="A243" s="378">
        <f t="shared" si="31"/>
        <v>191</v>
      </c>
      <c r="B243" s="379" t="s">
        <v>574</v>
      </c>
      <c r="C243" s="380" t="s">
        <v>859</v>
      </c>
      <c r="D243" s="379"/>
      <c r="E243" s="386"/>
      <c r="F243" s="382">
        <f t="shared" si="32"/>
        <v>159.5</v>
      </c>
      <c r="G243" s="379">
        <v>127</v>
      </c>
      <c r="H243" s="379">
        <v>346.61</v>
      </c>
      <c r="I243" s="379">
        <v>838</v>
      </c>
      <c r="J243" s="379">
        <v>0.57199999999999995</v>
      </c>
      <c r="K243" s="379">
        <v>0.9</v>
      </c>
      <c r="L243" s="379">
        <v>0.7</v>
      </c>
      <c r="M243" s="379">
        <v>0.7</v>
      </c>
      <c r="N243" s="379" t="s">
        <v>633</v>
      </c>
      <c r="O243" s="383">
        <f t="shared" si="33"/>
        <v>191</v>
      </c>
    </row>
    <row r="244" spans="1:15" ht="15">
      <c r="A244" s="378">
        <f t="shared" si="31"/>
        <v>192</v>
      </c>
      <c r="B244" s="379" t="s">
        <v>576</v>
      </c>
      <c r="C244" s="380" t="s">
        <v>860</v>
      </c>
      <c r="D244" s="379"/>
      <c r="E244" s="386"/>
      <c r="F244" s="382">
        <f t="shared" si="32"/>
        <v>160.5</v>
      </c>
      <c r="G244" s="379">
        <v>89</v>
      </c>
      <c r="H244" s="379">
        <v>1862.66</v>
      </c>
      <c r="I244" s="379">
        <v>838</v>
      </c>
      <c r="J244" s="379">
        <v>0.97299999999999998</v>
      </c>
      <c r="K244" s="379">
        <v>0.9</v>
      </c>
      <c r="L244" s="379">
        <v>0.7</v>
      </c>
      <c r="M244" s="379">
        <v>0.7</v>
      </c>
      <c r="N244" s="379" t="s">
        <v>640</v>
      </c>
      <c r="O244" s="383">
        <f t="shared" si="33"/>
        <v>192</v>
      </c>
    </row>
    <row r="245" spans="1:15" ht="15">
      <c r="A245" s="378">
        <v>1</v>
      </c>
      <c r="B245" s="379" t="s">
        <v>861</v>
      </c>
      <c r="C245" s="380" t="s">
        <v>862</v>
      </c>
      <c r="D245" s="379" t="s">
        <v>863</v>
      </c>
      <c r="E245" s="385">
        <v>1.0999999999999999E-2</v>
      </c>
      <c r="F245" s="382">
        <v>1</v>
      </c>
      <c r="G245" s="379"/>
      <c r="H245" s="379"/>
      <c r="I245" s="379"/>
      <c r="J245" s="379"/>
      <c r="K245" s="379"/>
      <c r="L245" s="379"/>
      <c r="M245" s="379"/>
      <c r="N245" s="379" t="s">
        <v>649</v>
      </c>
      <c r="O245" s="383">
        <v>1</v>
      </c>
    </row>
    <row r="246" spans="1:15" ht="15">
      <c r="A246" s="378">
        <f t="shared" ref="A246:A277" si="34">A245+1</f>
        <v>2</v>
      </c>
      <c r="B246" s="379" t="str">
        <f t="shared" ref="B246:B253" si="35">"NM0"&amp;A246</f>
        <v>NM02</v>
      </c>
      <c r="C246" s="380" t="s">
        <v>864</v>
      </c>
      <c r="D246" s="379" t="s">
        <v>863</v>
      </c>
      <c r="E246" s="385">
        <v>0.21</v>
      </c>
      <c r="F246" s="382">
        <f t="shared" ref="F246:F277" si="36">F245+1</f>
        <v>2</v>
      </c>
      <c r="G246" s="379"/>
      <c r="H246" s="379"/>
      <c r="I246" s="379"/>
      <c r="J246" s="379"/>
      <c r="K246" s="379"/>
      <c r="L246" s="379"/>
      <c r="M246" s="379"/>
      <c r="N246" s="379" t="s">
        <v>649</v>
      </c>
      <c r="O246" s="383">
        <f t="shared" ref="O246:O277" si="37">O245+1</f>
        <v>2</v>
      </c>
    </row>
    <row r="247" spans="1:15" ht="15">
      <c r="A247" s="378">
        <f t="shared" si="34"/>
        <v>3</v>
      </c>
      <c r="B247" s="379" t="str">
        <f t="shared" si="35"/>
        <v>NM03</v>
      </c>
      <c r="C247" s="380" t="s">
        <v>865</v>
      </c>
      <c r="D247" s="379" t="s">
        <v>863</v>
      </c>
      <c r="E247" s="385">
        <v>2E-3</v>
      </c>
      <c r="F247" s="382">
        <f t="shared" si="36"/>
        <v>3</v>
      </c>
      <c r="G247" s="379"/>
      <c r="H247" s="379"/>
      <c r="I247" s="379"/>
      <c r="J247" s="379"/>
      <c r="K247" s="379"/>
      <c r="L247" s="379"/>
      <c r="M247" s="379"/>
      <c r="N247" s="379" t="s">
        <v>649</v>
      </c>
      <c r="O247" s="383">
        <f t="shared" si="37"/>
        <v>3</v>
      </c>
    </row>
    <row r="248" spans="1:15" ht="15">
      <c r="A248" s="378">
        <f t="shared" si="34"/>
        <v>4</v>
      </c>
      <c r="B248" s="379" t="str">
        <f t="shared" si="35"/>
        <v>NM04</v>
      </c>
      <c r="C248" s="380" t="s">
        <v>866</v>
      </c>
      <c r="D248" s="379" t="s">
        <v>863</v>
      </c>
      <c r="E248" s="385">
        <v>0.37</v>
      </c>
      <c r="F248" s="382">
        <f t="shared" si="36"/>
        <v>4</v>
      </c>
      <c r="G248" s="379"/>
      <c r="H248" s="379"/>
      <c r="I248" s="379"/>
      <c r="J248" s="379"/>
      <c r="K248" s="379"/>
      <c r="L248" s="379"/>
      <c r="M248" s="379"/>
      <c r="N248" s="379" t="s">
        <v>649</v>
      </c>
      <c r="O248" s="383">
        <f t="shared" si="37"/>
        <v>4</v>
      </c>
    </row>
    <row r="249" spans="1:15" ht="15">
      <c r="A249" s="378">
        <f t="shared" si="34"/>
        <v>5</v>
      </c>
      <c r="B249" s="379" t="str">
        <f t="shared" si="35"/>
        <v>NM05</v>
      </c>
      <c r="C249" s="380" t="s">
        <v>867</v>
      </c>
      <c r="D249" s="379" t="s">
        <v>863</v>
      </c>
      <c r="E249" s="385">
        <v>0.22</v>
      </c>
      <c r="F249" s="382">
        <f t="shared" si="36"/>
        <v>5</v>
      </c>
      <c r="G249" s="379"/>
      <c r="H249" s="379"/>
      <c r="I249" s="379"/>
      <c r="J249" s="379"/>
      <c r="K249" s="379"/>
      <c r="L249" s="379"/>
      <c r="M249" s="379"/>
      <c r="N249" s="379" t="s">
        <v>649</v>
      </c>
      <c r="O249" s="383">
        <f t="shared" si="37"/>
        <v>5</v>
      </c>
    </row>
    <row r="250" spans="1:15" ht="15">
      <c r="A250" s="378">
        <f t="shared" si="34"/>
        <v>6</v>
      </c>
      <c r="B250" s="379" t="str">
        <f t="shared" si="35"/>
        <v>NM06</v>
      </c>
      <c r="C250" s="380" t="s">
        <v>868</v>
      </c>
      <c r="D250" s="379" t="s">
        <v>863</v>
      </c>
      <c r="E250" s="385">
        <v>4.9000000000000002E-2</v>
      </c>
      <c r="F250" s="382">
        <f t="shared" si="36"/>
        <v>6</v>
      </c>
      <c r="G250" s="379"/>
      <c r="H250" s="379"/>
      <c r="I250" s="379"/>
      <c r="J250" s="379"/>
      <c r="K250" s="379"/>
      <c r="L250" s="379"/>
      <c r="M250" s="379"/>
      <c r="N250" s="379" t="s">
        <v>640</v>
      </c>
      <c r="O250" s="383">
        <f t="shared" si="37"/>
        <v>6</v>
      </c>
    </row>
    <row r="251" spans="1:15" ht="15">
      <c r="A251" s="378">
        <f t="shared" si="34"/>
        <v>7</v>
      </c>
      <c r="B251" s="379" t="str">
        <f t="shared" si="35"/>
        <v>NM07</v>
      </c>
      <c r="C251" s="380" t="s">
        <v>869</v>
      </c>
      <c r="D251" s="379" t="s">
        <v>863</v>
      </c>
      <c r="E251" s="385">
        <v>1.4E-2</v>
      </c>
      <c r="F251" s="382">
        <f t="shared" si="36"/>
        <v>7</v>
      </c>
      <c r="G251" s="379"/>
      <c r="H251" s="379"/>
      <c r="I251" s="379"/>
      <c r="J251" s="379"/>
      <c r="K251" s="379"/>
      <c r="L251" s="379"/>
      <c r="M251" s="379"/>
      <c r="N251" s="379" t="s">
        <v>649</v>
      </c>
      <c r="O251" s="383">
        <f t="shared" si="37"/>
        <v>7</v>
      </c>
    </row>
    <row r="252" spans="1:15" ht="15">
      <c r="A252" s="378">
        <f t="shared" si="34"/>
        <v>8</v>
      </c>
      <c r="B252" s="379" t="str">
        <f t="shared" si="35"/>
        <v>NM08</v>
      </c>
      <c r="C252" s="380" t="s">
        <v>870</v>
      </c>
      <c r="D252" s="379" t="s">
        <v>863</v>
      </c>
      <c r="E252" s="385">
        <v>8.9999999999999993E-3</v>
      </c>
      <c r="F252" s="382">
        <f t="shared" si="36"/>
        <v>8</v>
      </c>
      <c r="G252" s="379"/>
      <c r="H252" s="379"/>
      <c r="I252" s="379"/>
      <c r="J252" s="379"/>
      <c r="K252" s="379"/>
      <c r="L252" s="379"/>
      <c r="M252" s="379"/>
      <c r="N252" s="379" t="s">
        <v>643</v>
      </c>
      <c r="O252" s="383">
        <f t="shared" si="37"/>
        <v>8</v>
      </c>
    </row>
    <row r="253" spans="1:15" ht="15">
      <c r="A253" s="378">
        <f t="shared" si="34"/>
        <v>9</v>
      </c>
      <c r="B253" s="379" t="str">
        <f t="shared" si="35"/>
        <v>NM09</v>
      </c>
      <c r="C253" s="380" t="s">
        <v>871</v>
      </c>
      <c r="D253" s="379" t="s">
        <v>863</v>
      </c>
      <c r="E253" s="385">
        <v>8.9999999999999993E-3</v>
      </c>
      <c r="F253" s="382">
        <f t="shared" si="36"/>
        <v>9</v>
      </c>
      <c r="G253" s="379"/>
      <c r="H253" s="379"/>
      <c r="I253" s="379"/>
      <c r="J253" s="379"/>
      <c r="K253" s="379"/>
      <c r="L253" s="379"/>
      <c r="M253" s="379"/>
      <c r="N253" s="379" t="s">
        <v>646</v>
      </c>
      <c r="O253" s="383">
        <f t="shared" si="37"/>
        <v>9</v>
      </c>
    </row>
    <row r="254" spans="1:15" ht="15">
      <c r="A254" s="378">
        <f t="shared" si="34"/>
        <v>10</v>
      </c>
      <c r="B254" s="379" t="str">
        <f t="shared" ref="B254:B285" si="38">"NM"&amp;A254</f>
        <v>NM10</v>
      </c>
      <c r="C254" s="380" t="s">
        <v>872</v>
      </c>
      <c r="D254" s="379" t="s">
        <v>863</v>
      </c>
      <c r="E254" s="385">
        <v>0.12</v>
      </c>
      <c r="F254" s="382">
        <f t="shared" si="36"/>
        <v>10</v>
      </c>
      <c r="G254" s="379"/>
      <c r="H254" s="379"/>
      <c r="I254" s="379"/>
      <c r="J254" s="379"/>
      <c r="K254" s="379"/>
      <c r="L254" s="379"/>
      <c r="M254" s="379"/>
      <c r="N254" s="379" t="s">
        <v>643</v>
      </c>
      <c r="O254" s="383">
        <f t="shared" si="37"/>
        <v>10</v>
      </c>
    </row>
    <row r="255" spans="1:15" ht="27">
      <c r="A255" s="378">
        <f t="shared" si="34"/>
        <v>11</v>
      </c>
      <c r="B255" s="379" t="str">
        <f t="shared" si="38"/>
        <v>NM11</v>
      </c>
      <c r="C255" s="380" t="s">
        <v>873</v>
      </c>
      <c r="D255" s="379" t="s">
        <v>863</v>
      </c>
      <c r="E255" s="385">
        <v>1.94</v>
      </c>
      <c r="F255" s="382">
        <f t="shared" si="36"/>
        <v>11</v>
      </c>
      <c r="G255" s="379"/>
      <c r="H255" s="379"/>
      <c r="I255" s="379"/>
      <c r="J255" s="379"/>
      <c r="K255" s="379"/>
      <c r="L255" s="379"/>
      <c r="M255" s="379"/>
      <c r="N255" s="379" t="s">
        <v>649</v>
      </c>
      <c r="O255" s="383">
        <f t="shared" si="37"/>
        <v>11</v>
      </c>
    </row>
    <row r="256" spans="1:15" ht="27">
      <c r="A256" s="378">
        <f t="shared" si="34"/>
        <v>12</v>
      </c>
      <c r="B256" s="379" t="str">
        <f t="shared" si="38"/>
        <v>NM12</v>
      </c>
      <c r="C256" s="380" t="s">
        <v>874</v>
      </c>
      <c r="D256" s="379" t="s">
        <v>863</v>
      </c>
      <c r="E256" s="385">
        <v>2.29</v>
      </c>
      <c r="F256" s="382">
        <f t="shared" si="36"/>
        <v>12</v>
      </c>
      <c r="G256" s="379"/>
      <c r="H256" s="379"/>
      <c r="I256" s="379"/>
      <c r="J256" s="379"/>
      <c r="K256" s="379"/>
      <c r="L256" s="379"/>
      <c r="M256" s="379"/>
      <c r="N256" s="379" t="s">
        <v>649</v>
      </c>
      <c r="O256" s="383">
        <f t="shared" si="37"/>
        <v>12</v>
      </c>
    </row>
    <row r="257" spans="1:15" ht="27">
      <c r="A257" s="378">
        <f t="shared" si="34"/>
        <v>13</v>
      </c>
      <c r="B257" s="379" t="str">
        <f t="shared" si="38"/>
        <v>NM13</v>
      </c>
      <c r="C257" s="380" t="s">
        <v>875</v>
      </c>
      <c r="D257" s="379" t="s">
        <v>863</v>
      </c>
      <c r="E257" s="385">
        <v>2.63</v>
      </c>
      <c r="F257" s="382">
        <f t="shared" si="36"/>
        <v>13</v>
      </c>
      <c r="G257" s="379"/>
      <c r="H257" s="379"/>
      <c r="I257" s="379"/>
      <c r="J257" s="379"/>
      <c r="K257" s="379"/>
      <c r="L257" s="379"/>
      <c r="M257" s="379"/>
      <c r="N257" s="379" t="s">
        <v>649</v>
      </c>
      <c r="O257" s="383">
        <f t="shared" si="37"/>
        <v>13</v>
      </c>
    </row>
    <row r="258" spans="1:15" ht="27">
      <c r="A258" s="378">
        <f t="shared" si="34"/>
        <v>14</v>
      </c>
      <c r="B258" s="379" t="str">
        <f t="shared" si="38"/>
        <v>NM14</v>
      </c>
      <c r="C258" s="380" t="s">
        <v>876</v>
      </c>
      <c r="D258" s="379" t="s">
        <v>863</v>
      </c>
      <c r="E258" s="385">
        <v>3.32</v>
      </c>
      <c r="F258" s="382">
        <f t="shared" si="36"/>
        <v>14</v>
      </c>
      <c r="G258" s="379"/>
      <c r="H258" s="379"/>
      <c r="I258" s="379"/>
      <c r="J258" s="379"/>
      <c r="K258" s="379"/>
      <c r="L258" s="379"/>
      <c r="M258" s="379"/>
      <c r="N258" s="379" t="s">
        <v>649</v>
      </c>
      <c r="O258" s="383">
        <f t="shared" si="37"/>
        <v>14</v>
      </c>
    </row>
    <row r="259" spans="1:15" ht="27">
      <c r="A259" s="378">
        <f t="shared" si="34"/>
        <v>15</v>
      </c>
      <c r="B259" s="379" t="str">
        <f t="shared" si="38"/>
        <v>NM15</v>
      </c>
      <c r="C259" s="380" t="s">
        <v>877</v>
      </c>
      <c r="D259" s="379" t="s">
        <v>863</v>
      </c>
      <c r="E259" s="385">
        <v>3.67</v>
      </c>
      <c r="F259" s="382">
        <f t="shared" si="36"/>
        <v>15</v>
      </c>
      <c r="G259" s="379"/>
      <c r="H259" s="379"/>
      <c r="I259" s="379"/>
      <c r="J259" s="379"/>
      <c r="K259" s="379"/>
      <c r="L259" s="379"/>
      <c r="M259" s="379"/>
      <c r="N259" s="379" t="s">
        <v>649</v>
      </c>
      <c r="O259" s="383">
        <f t="shared" si="37"/>
        <v>15</v>
      </c>
    </row>
    <row r="260" spans="1:15" ht="27">
      <c r="A260" s="378">
        <f t="shared" si="34"/>
        <v>16</v>
      </c>
      <c r="B260" s="379" t="str">
        <f t="shared" si="38"/>
        <v>NM16</v>
      </c>
      <c r="C260" s="380" t="s">
        <v>878</v>
      </c>
      <c r="D260" s="379" t="s">
        <v>863</v>
      </c>
      <c r="E260" s="385">
        <v>3.91</v>
      </c>
      <c r="F260" s="382">
        <f t="shared" si="36"/>
        <v>16</v>
      </c>
      <c r="G260" s="379"/>
      <c r="H260" s="379"/>
      <c r="I260" s="379"/>
      <c r="J260" s="379"/>
      <c r="K260" s="379"/>
      <c r="L260" s="379"/>
      <c r="M260" s="379"/>
      <c r="N260" s="379" t="s">
        <v>649</v>
      </c>
      <c r="O260" s="383">
        <f t="shared" si="37"/>
        <v>16</v>
      </c>
    </row>
    <row r="261" spans="1:15" ht="27">
      <c r="A261" s="378">
        <f t="shared" si="34"/>
        <v>17</v>
      </c>
      <c r="B261" s="379" t="str">
        <f t="shared" si="38"/>
        <v>NM17</v>
      </c>
      <c r="C261" s="380" t="s">
        <v>879</v>
      </c>
      <c r="D261" s="379" t="s">
        <v>863</v>
      </c>
      <c r="E261" s="385">
        <v>5.34</v>
      </c>
      <c r="F261" s="382">
        <f t="shared" si="36"/>
        <v>17</v>
      </c>
      <c r="G261" s="379"/>
      <c r="H261" s="379"/>
      <c r="I261" s="379"/>
      <c r="J261" s="379"/>
      <c r="K261" s="379"/>
      <c r="L261" s="379"/>
      <c r="M261" s="379"/>
      <c r="N261" s="379" t="s">
        <v>649</v>
      </c>
      <c r="O261" s="383">
        <f t="shared" si="37"/>
        <v>17</v>
      </c>
    </row>
    <row r="262" spans="1:15" ht="27">
      <c r="A262" s="378">
        <f t="shared" si="34"/>
        <v>18</v>
      </c>
      <c r="B262" s="379" t="str">
        <f t="shared" si="38"/>
        <v>NM18</v>
      </c>
      <c r="C262" s="380" t="s">
        <v>880</v>
      </c>
      <c r="D262" s="379" t="s">
        <v>863</v>
      </c>
      <c r="E262" s="385">
        <v>6.77</v>
      </c>
      <c r="F262" s="382">
        <f t="shared" si="36"/>
        <v>18</v>
      </c>
      <c r="G262" s="379"/>
      <c r="H262" s="379"/>
      <c r="I262" s="379"/>
      <c r="J262" s="379"/>
      <c r="K262" s="379"/>
      <c r="L262" s="379"/>
      <c r="M262" s="379"/>
      <c r="N262" s="379" t="s">
        <v>649</v>
      </c>
      <c r="O262" s="383">
        <f t="shared" si="37"/>
        <v>18</v>
      </c>
    </row>
    <row r="263" spans="1:15" ht="15">
      <c r="A263" s="378">
        <f t="shared" si="34"/>
        <v>19</v>
      </c>
      <c r="B263" s="379" t="str">
        <f t="shared" si="38"/>
        <v>NM19</v>
      </c>
      <c r="C263" s="380" t="s">
        <v>881</v>
      </c>
      <c r="D263" s="379" t="s">
        <v>863</v>
      </c>
      <c r="E263" s="385">
        <v>0.22</v>
      </c>
      <c r="F263" s="382">
        <f t="shared" si="36"/>
        <v>19</v>
      </c>
      <c r="G263" s="379"/>
      <c r="H263" s="379"/>
      <c r="I263" s="379"/>
      <c r="J263" s="379"/>
      <c r="K263" s="379"/>
      <c r="L263" s="379"/>
      <c r="M263" s="379"/>
      <c r="N263" s="379" t="s">
        <v>643</v>
      </c>
      <c r="O263" s="383">
        <f t="shared" si="37"/>
        <v>19</v>
      </c>
    </row>
    <row r="264" spans="1:15" ht="15">
      <c r="A264" s="378">
        <f t="shared" si="34"/>
        <v>20</v>
      </c>
      <c r="B264" s="379" t="str">
        <f t="shared" si="38"/>
        <v>NM20</v>
      </c>
      <c r="C264" s="380" t="s">
        <v>882</v>
      </c>
      <c r="D264" s="379" t="s">
        <v>863</v>
      </c>
      <c r="E264" s="385">
        <v>0.33</v>
      </c>
      <c r="F264" s="382">
        <f t="shared" si="36"/>
        <v>20</v>
      </c>
      <c r="G264" s="379"/>
      <c r="H264" s="379"/>
      <c r="I264" s="379"/>
      <c r="J264" s="379"/>
      <c r="K264" s="379"/>
      <c r="L264" s="379"/>
      <c r="M264" s="379"/>
      <c r="N264" s="379" t="s">
        <v>643</v>
      </c>
      <c r="O264" s="383">
        <f t="shared" si="37"/>
        <v>20</v>
      </c>
    </row>
    <row r="265" spans="1:15" ht="15">
      <c r="A265" s="378">
        <f t="shared" si="34"/>
        <v>21</v>
      </c>
      <c r="B265" s="379" t="str">
        <f t="shared" si="38"/>
        <v>NM21</v>
      </c>
      <c r="C265" s="380" t="s">
        <v>883</v>
      </c>
      <c r="D265" s="379" t="s">
        <v>863</v>
      </c>
      <c r="E265" s="385">
        <v>1.94</v>
      </c>
      <c r="F265" s="382">
        <f t="shared" si="36"/>
        <v>21</v>
      </c>
      <c r="G265" s="379"/>
      <c r="H265" s="379"/>
      <c r="I265" s="379"/>
      <c r="J265" s="379"/>
      <c r="K265" s="379"/>
      <c r="L265" s="379"/>
      <c r="M265" s="379"/>
      <c r="N265" s="379" t="s">
        <v>646</v>
      </c>
      <c r="O265" s="383">
        <f t="shared" si="37"/>
        <v>21</v>
      </c>
    </row>
    <row r="266" spans="1:15" ht="15">
      <c r="A266" s="378">
        <f t="shared" si="34"/>
        <v>22</v>
      </c>
      <c r="B266" s="379" t="str">
        <f t="shared" si="38"/>
        <v>NM22</v>
      </c>
      <c r="C266" s="380" t="s">
        <v>884</v>
      </c>
      <c r="D266" s="379" t="s">
        <v>863</v>
      </c>
      <c r="E266" s="385">
        <v>3.35</v>
      </c>
      <c r="F266" s="382">
        <f t="shared" si="36"/>
        <v>22</v>
      </c>
      <c r="G266" s="379"/>
      <c r="H266" s="379"/>
      <c r="I266" s="379"/>
      <c r="J266" s="379"/>
      <c r="K266" s="379"/>
      <c r="L266" s="379"/>
      <c r="M266" s="379"/>
      <c r="N266" s="379" t="s">
        <v>646</v>
      </c>
      <c r="O266" s="383">
        <f t="shared" si="37"/>
        <v>22</v>
      </c>
    </row>
    <row r="267" spans="1:15" ht="15">
      <c r="A267" s="378">
        <f t="shared" si="34"/>
        <v>23</v>
      </c>
      <c r="B267" s="379" t="str">
        <f t="shared" si="38"/>
        <v>NM23</v>
      </c>
      <c r="C267" s="380" t="s">
        <v>885</v>
      </c>
      <c r="D267" s="379" t="s">
        <v>863</v>
      </c>
      <c r="E267" s="385">
        <v>3.87</v>
      </c>
      <c r="F267" s="382">
        <f t="shared" si="36"/>
        <v>23</v>
      </c>
      <c r="G267" s="379"/>
      <c r="H267" s="379"/>
      <c r="I267" s="379"/>
      <c r="J267" s="379"/>
      <c r="K267" s="379"/>
      <c r="L267" s="379"/>
      <c r="M267" s="379"/>
      <c r="N267" s="379" t="s">
        <v>646</v>
      </c>
      <c r="O267" s="383">
        <f t="shared" si="37"/>
        <v>23</v>
      </c>
    </row>
    <row r="268" spans="1:15" ht="15">
      <c r="A268" s="378">
        <f t="shared" si="34"/>
        <v>24</v>
      </c>
      <c r="B268" s="379" t="str">
        <f t="shared" si="38"/>
        <v>NM24</v>
      </c>
      <c r="C268" s="380" t="s">
        <v>886</v>
      </c>
      <c r="D268" s="379" t="s">
        <v>863</v>
      </c>
      <c r="E268" s="385">
        <v>5.28</v>
      </c>
      <c r="F268" s="382">
        <f t="shared" si="36"/>
        <v>24</v>
      </c>
      <c r="G268" s="379"/>
      <c r="H268" s="379"/>
      <c r="I268" s="379"/>
      <c r="J268" s="379"/>
      <c r="K268" s="379"/>
      <c r="L268" s="379"/>
      <c r="M268" s="379"/>
      <c r="N268" s="379" t="s">
        <v>646</v>
      </c>
      <c r="O268" s="383">
        <f t="shared" si="37"/>
        <v>24</v>
      </c>
    </row>
    <row r="269" spans="1:15" ht="15">
      <c r="A269" s="378">
        <f t="shared" si="34"/>
        <v>25</v>
      </c>
      <c r="B269" s="379" t="str">
        <f t="shared" si="38"/>
        <v>NM25</v>
      </c>
      <c r="C269" s="380" t="s">
        <v>887</v>
      </c>
      <c r="D269" s="379" t="s">
        <v>863</v>
      </c>
      <c r="E269" s="385">
        <v>2.2999999999999998</v>
      </c>
      <c r="F269" s="382">
        <f t="shared" si="36"/>
        <v>25</v>
      </c>
      <c r="G269" s="379"/>
      <c r="H269" s="379"/>
      <c r="I269" s="379"/>
      <c r="J269" s="379"/>
      <c r="K269" s="379"/>
      <c r="L269" s="379"/>
      <c r="M269" s="379"/>
      <c r="N269" s="379" t="s">
        <v>646</v>
      </c>
      <c r="O269" s="383">
        <f t="shared" si="37"/>
        <v>25</v>
      </c>
    </row>
    <row r="270" spans="1:15" ht="15">
      <c r="A270" s="378">
        <f t="shared" si="34"/>
        <v>26</v>
      </c>
      <c r="B270" s="379" t="str">
        <f t="shared" si="38"/>
        <v>NM26</v>
      </c>
      <c r="C270" s="380" t="s">
        <v>888</v>
      </c>
      <c r="D270" s="379" t="s">
        <v>863</v>
      </c>
      <c r="E270" s="385">
        <v>3.6999999999999998E-2</v>
      </c>
      <c r="F270" s="382">
        <f t="shared" si="36"/>
        <v>26</v>
      </c>
      <c r="G270" s="379"/>
      <c r="H270" s="379"/>
      <c r="I270" s="379"/>
      <c r="J270" s="379"/>
      <c r="K270" s="379"/>
      <c r="L270" s="379"/>
      <c r="M270" s="379"/>
      <c r="N270" s="379" t="s">
        <v>646</v>
      </c>
      <c r="O270" s="383">
        <f t="shared" si="37"/>
        <v>26</v>
      </c>
    </row>
    <row r="271" spans="1:15" ht="15">
      <c r="A271" s="378">
        <f t="shared" si="34"/>
        <v>27</v>
      </c>
      <c r="B271" s="379" t="str">
        <f t="shared" si="38"/>
        <v>NM27</v>
      </c>
      <c r="C271" s="380" t="s">
        <v>889</v>
      </c>
      <c r="D271" s="379" t="s">
        <v>863</v>
      </c>
      <c r="E271" s="385">
        <v>2.5999999999999999E-2</v>
      </c>
      <c r="F271" s="382">
        <f t="shared" si="36"/>
        <v>27</v>
      </c>
      <c r="G271" s="379"/>
      <c r="H271" s="379"/>
      <c r="I271" s="379"/>
      <c r="J271" s="379"/>
      <c r="K271" s="379"/>
      <c r="L271" s="379"/>
      <c r="M271" s="379"/>
      <c r="N271" s="379" t="s">
        <v>646</v>
      </c>
      <c r="O271" s="383">
        <f t="shared" si="37"/>
        <v>27</v>
      </c>
    </row>
    <row r="272" spans="1:15" ht="15">
      <c r="A272" s="378">
        <f t="shared" si="34"/>
        <v>28</v>
      </c>
      <c r="B272" s="379" t="str">
        <f t="shared" si="38"/>
        <v>NM28</v>
      </c>
      <c r="C272" s="380" t="s">
        <v>645</v>
      </c>
      <c r="D272" s="379" t="s">
        <v>863</v>
      </c>
      <c r="E272" s="385">
        <v>7.6999999999999999E-2</v>
      </c>
      <c r="F272" s="382">
        <f t="shared" si="36"/>
        <v>28</v>
      </c>
      <c r="G272" s="379"/>
      <c r="H272" s="379"/>
      <c r="I272" s="379"/>
      <c r="J272" s="379"/>
      <c r="K272" s="379"/>
      <c r="L272" s="379"/>
      <c r="M272" s="379"/>
      <c r="N272" s="379" t="s">
        <v>646</v>
      </c>
      <c r="O272" s="383">
        <f t="shared" si="37"/>
        <v>28</v>
      </c>
    </row>
    <row r="273" spans="1:15" ht="15">
      <c r="A273" s="378">
        <f t="shared" si="34"/>
        <v>29</v>
      </c>
      <c r="B273" s="379" t="str">
        <f t="shared" si="38"/>
        <v>NM29</v>
      </c>
      <c r="C273" s="380" t="s">
        <v>890</v>
      </c>
      <c r="D273" s="379" t="s">
        <v>863</v>
      </c>
      <c r="E273" s="385">
        <v>5.8000000000000003E-2</v>
      </c>
      <c r="F273" s="382">
        <f t="shared" si="36"/>
        <v>29</v>
      </c>
      <c r="G273" s="379"/>
      <c r="H273" s="379"/>
      <c r="I273" s="379"/>
      <c r="J273" s="379"/>
      <c r="K273" s="379"/>
      <c r="L273" s="379"/>
      <c r="M273" s="379"/>
      <c r="N273" s="379" t="s">
        <v>646</v>
      </c>
      <c r="O273" s="383">
        <f t="shared" si="37"/>
        <v>29</v>
      </c>
    </row>
    <row r="274" spans="1:15" ht="15">
      <c r="A274" s="378">
        <f t="shared" si="34"/>
        <v>30</v>
      </c>
      <c r="B274" s="379" t="str">
        <f t="shared" si="38"/>
        <v>NM30</v>
      </c>
      <c r="C274" s="380" t="s">
        <v>891</v>
      </c>
      <c r="D274" s="379" t="s">
        <v>863</v>
      </c>
      <c r="E274" s="385">
        <v>8.9999999999999993E-3</v>
      </c>
      <c r="F274" s="382">
        <f t="shared" si="36"/>
        <v>30</v>
      </c>
      <c r="G274" s="379"/>
      <c r="H274" s="379"/>
      <c r="I274" s="379"/>
      <c r="J274" s="379"/>
      <c r="K274" s="379"/>
      <c r="L274" s="379"/>
      <c r="M274" s="379"/>
      <c r="N274" s="379" t="s">
        <v>646</v>
      </c>
      <c r="O274" s="383">
        <f t="shared" si="37"/>
        <v>30</v>
      </c>
    </row>
    <row r="275" spans="1:15" ht="15">
      <c r="A275" s="378">
        <f t="shared" si="34"/>
        <v>31</v>
      </c>
      <c r="B275" s="379" t="str">
        <f t="shared" si="38"/>
        <v>NM31</v>
      </c>
      <c r="C275" s="380" t="s">
        <v>892</v>
      </c>
      <c r="D275" s="379" t="s">
        <v>863</v>
      </c>
      <c r="E275" s="385">
        <v>0.16600000000000001</v>
      </c>
      <c r="F275" s="382">
        <f t="shared" si="36"/>
        <v>31</v>
      </c>
      <c r="G275" s="379"/>
      <c r="H275" s="379"/>
      <c r="I275" s="379"/>
      <c r="J275" s="379"/>
      <c r="K275" s="379"/>
      <c r="L275" s="379"/>
      <c r="M275" s="379"/>
      <c r="N275" s="379" t="s">
        <v>646</v>
      </c>
      <c r="O275" s="383">
        <f t="shared" si="37"/>
        <v>31</v>
      </c>
    </row>
    <row r="276" spans="1:15" ht="15">
      <c r="A276" s="378">
        <f t="shared" si="34"/>
        <v>32</v>
      </c>
      <c r="B276" s="379" t="str">
        <f t="shared" si="38"/>
        <v>NM32</v>
      </c>
      <c r="C276" s="380" t="s">
        <v>893</v>
      </c>
      <c r="D276" s="379" t="s">
        <v>863</v>
      </c>
      <c r="E276" s="385">
        <v>1.2999999999999999E-2</v>
      </c>
      <c r="F276" s="382">
        <f t="shared" si="36"/>
        <v>32</v>
      </c>
      <c r="G276" s="379"/>
      <c r="H276" s="379"/>
      <c r="I276" s="379"/>
      <c r="J276" s="379"/>
      <c r="K276" s="379"/>
      <c r="L276" s="379"/>
      <c r="M276" s="379"/>
      <c r="N276" s="379" t="s">
        <v>633</v>
      </c>
      <c r="O276" s="383">
        <f t="shared" si="37"/>
        <v>32</v>
      </c>
    </row>
    <row r="277" spans="1:15" ht="15">
      <c r="A277" s="378">
        <f t="shared" si="34"/>
        <v>33</v>
      </c>
      <c r="B277" s="379" t="str">
        <f t="shared" si="38"/>
        <v>NM33</v>
      </c>
      <c r="C277" s="380" t="s">
        <v>894</v>
      </c>
      <c r="D277" s="379" t="s">
        <v>863</v>
      </c>
      <c r="E277" s="385">
        <v>2.5999999999999999E-2</v>
      </c>
      <c r="F277" s="382">
        <f t="shared" si="36"/>
        <v>33</v>
      </c>
      <c r="G277" s="379"/>
      <c r="H277" s="379"/>
      <c r="I277" s="379"/>
      <c r="J277" s="379"/>
      <c r="K277" s="379"/>
      <c r="L277" s="379"/>
      <c r="M277" s="379"/>
      <c r="N277" s="379" t="s">
        <v>633</v>
      </c>
      <c r="O277" s="383">
        <f t="shared" si="37"/>
        <v>33</v>
      </c>
    </row>
    <row r="278" spans="1:15" ht="15">
      <c r="A278" s="378">
        <f t="shared" ref="A278:A308" si="39">A277+1</f>
        <v>34</v>
      </c>
      <c r="B278" s="379" t="str">
        <f t="shared" si="38"/>
        <v>NM34</v>
      </c>
      <c r="C278" s="380" t="s">
        <v>895</v>
      </c>
      <c r="D278" s="379" t="s">
        <v>863</v>
      </c>
      <c r="E278" s="385">
        <v>5.6000000000000001E-2</v>
      </c>
      <c r="F278" s="382">
        <f t="shared" ref="F278:F308" si="40">F277+1</f>
        <v>34</v>
      </c>
      <c r="G278" s="379"/>
      <c r="H278" s="379"/>
      <c r="I278" s="379"/>
      <c r="J278" s="379"/>
      <c r="K278" s="379"/>
      <c r="L278" s="379"/>
      <c r="M278" s="379"/>
      <c r="N278" s="379" t="s">
        <v>633</v>
      </c>
      <c r="O278" s="383">
        <f t="shared" ref="O278:O308" si="41">O277+1</f>
        <v>34</v>
      </c>
    </row>
    <row r="279" spans="1:15" ht="15">
      <c r="A279" s="378">
        <f t="shared" si="39"/>
        <v>35</v>
      </c>
      <c r="B279" s="379" t="str">
        <f t="shared" si="38"/>
        <v>NM35</v>
      </c>
      <c r="C279" s="380" t="s">
        <v>896</v>
      </c>
      <c r="D279" s="379" t="s">
        <v>863</v>
      </c>
      <c r="E279" s="385">
        <v>6.6000000000000003E-2</v>
      </c>
      <c r="F279" s="382">
        <f t="shared" si="40"/>
        <v>35</v>
      </c>
      <c r="G279" s="379"/>
      <c r="H279" s="379"/>
      <c r="I279" s="379"/>
      <c r="J279" s="379"/>
      <c r="K279" s="379"/>
      <c r="L279" s="379"/>
      <c r="M279" s="379"/>
      <c r="N279" s="379" t="s">
        <v>633</v>
      </c>
      <c r="O279" s="383">
        <f t="shared" si="41"/>
        <v>35</v>
      </c>
    </row>
    <row r="280" spans="1:15" ht="15">
      <c r="A280" s="378">
        <f t="shared" si="39"/>
        <v>36</v>
      </c>
      <c r="B280" s="379" t="str">
        <f t="shared" si="38"/>
        <v>NM36</v>
      </c>
      <c r="C280" s="380" t="s">
        <v>897</v>
      </c>
      <c r="D280" s="379" t="s">
        <v>863</v>
      </c>
      <c r="E280" s="385">
        <v>8.3000000000000004E-2</v>
      </c>
      <c r="F280" s="382">
        <f t="shared" si="40"/>
        <v>36</v>
      </c>
      <c r="G280" s="379"/>
      <c r="H280" s="379"/>
      <c r="I280" s="379"/>
      <c r="J280" s="379"/>
      <c r="K280" s="379"/>
      <c r="L280" s="379"/>
      <c r="M280" s="379"/>
      <c r="N280" s="379" t="s">
        <v>633</v>
      </c>
      <c r="O280" s="383">
        <f t="shared" si="41"/>
        <v>36</v>
      </c>
    </row>
    <row r="281" spans="1:15" ht="15">
      <c r="A281" s="378">
        <f t="shared" si="39"/>
        <v>37</v>
      </c>
      <c r="B281" s="379" t="str">
        <f t="shared" si="38"/>
        <v>NM37</v>
      </c>
      <c r="C281" s="380" t="s">
        <v>898</v>
      </c>
      <c r="D281" s="379" t="s">
        <v>863</v>
      </c>
      <c r="E281" s="385">
        <v>1.6E-2</v>
      </c>
      <c r="F281" s="382">
        <f t="shared" si="40"/>
        <v>37</v>
      </c>
      <c r="G281" s="379"/>
      <c r="H281" s="379"/>
      <c r="I281" s="379"/>
      <c r="J281" s="379"/>
      <c r="K281" s="379"/>
      <c r="L281" s="379"/>
      <c r="M281" s="379"/>
      <c r="N281" s="379" t="s">
        <v>633</v>
      </c>
      <c r="O281" s="383">
        <f t="shared" si="41"/>
        <v>37</v>
      </c>
    </row>
    <row r="282" spans="1:15" ht="15">
      <c r="A282" s="378">
        <f t="shared" si="39"/>
        <v>38</v>
      </c>
      <c r="B282" s="379" t="str">
        <f t="shared" si="38"/>
        <v>NM38</v>
      </c>
      <c r="C282" s="380" t="s">
        <v>899</v>
      </c>
      <c r="D282" s="379" t="s">
        <v>863</v>
      </c>
      <c r="E282" s="385">
        <v>1.9E-2</v>
      </c>
      <c r="F282" s="382">
        <f t="shared" si="40"/>
        <v>38</v>
      </c>
      <c r="G282" s="379"/>
      <c r="H282" s="379"/>
      <c r="I282" s="379"/>
      <c r="J282" s="379"/>
      <c r="K282" s="379"/>
      <c r="L282" s="379"/>
      <c r="M282" s="379"/>
      <c r="N282" s="379" t="s">
        <v>633</v>
      </c>
      <c r="O282" s="383">
        <f t="shared" si="41"/>
        <v>38</v>
      </c>
    </row>
    <row r="283" spans="1:15" ht="15">
      <c r="A283" s="378">
        <f t="shared" si="39"/>
        <v>39</v>
      </c>
      <c r="B283" s="379" t="str">
        <f t="shared" si="38"/>
        <v>NM39</v>
      </c>
      <c r="C283" s="380" t="s">
        <v>900</v>
      </c>
      <c r="D283" s="379" t="s">
        <v>863</v>
      </c>
      <c r="E283" s="385">
        <v>2.3E-2</v>
      </c>
      <c r="F283" s="382">
        <f t="shared" si="40"/>
        <v>39</v>
      </c>
      <c r="G283" s="379"/>
      <c r="H283" s="379"/>
      <c r="I283" s="379"/>
      <c r="J283" s="379"/>
      <c r="K283" s="379"/>
      <c r="L283" s="379"/>
      <c r="M283" s="379"/>
      <c r="N283" s="379" t="s">
        <v>633</v>
      </c>
      <c r="O283" s="383">
        <f t="shared" si="41"/>
        <v>39</v>
      </c>
    </row>
    <row r="284" spans="1:15" ht="15">
      <c r="A284" s="378">
        <f t="shared" si="39"/>
        <v>40</v>
      </c>
      <c r="B284" s="379" t="str">
        <f t="shared" si="38"/>
        <v>NM40</v>
      </c>
      <c r="C284" s="380" t="s">
        <v>901</v>
      </c>
      <c r="D284" s="379" t="s">
        <v>863</v>
      </c>
      <c r="E284" s="385">
        <v>0.14000000000000001</v>
      </c>
      <c r="F284" s="382">
        <f t="shared" si="40"/>
        <v>40</v>
      </c>
      <c r="G284" s="379"/>
      <c r="H284" s="379"/>
      <c r="I284" s="379"/>
      <c r="J284" s="379"/>
      <c r="K284" s="379"/>
      <c r="L284" s="379"/>
      <c r="M284" s="379"/>
      <c r="N284" s="379" t="s">
        <v>643</v>
      </c>
      <c r="O284" s="383">
        <f t="shared" si="41"/>
        <v>40</v>
      </c>
    </row>
    <row r="285" spans="1:15" ht="15">
      <c r="A285" s="378">
        <f t="shared" si="39"/>
        <v>41</v>
      </c>
      <c r="B285" s="379" t="str">
        <f t="shared" si="38"/>
        <v>NM41</v>
      </c>
      <c r="C285" s="380" t="s">
        <v>902</v>
      </c>
      <c r="D285" s="379" t="s">
        <v>863</v>
      </c>
      <c r="E285" s="385">
        <v>0.2</v>
      </c>
      <c r="F285" s="382">
        <f t="shared" si="40"/>
        <v>41</v>
      </c>
      <c r="G285" s="379"/>
      <c r="H285" s="379"/>
      <c r="I285" s="379"/>
      <c r="J285" s="379"/>
      <c r="K285" s="379"/>
      <c r="L285" s="379"/>
      <c r="M285" s="379"/>
      <c r="N285" s="379" t="s">
        <v>643</v>
      </c>
      <c r="O285" s="383">
        <f t="shared" si="41"/>
        <v>41</v>
      </c>
    </row>
    <row r="286" spans="1:15" ht="15">
      <c r="A286" s="378">
        <f t="shared" si="39"/>
        <v>42</v>
      </c>
      <c r="B286" s="379" t="str">
        <f t="shared" ref="B286:B308" si="42">"NM"&amp;A286</f>
        <v>NM42</v>
      </c>
      <c r="C286" s="380" t="s">
        <v>903</v>
      </c>
      <c r="D286" s="379" t="s">
        <v>863</v>
      </c>
      <c r="E286" s="385">
        <v>0.27</v>
      </c>
      <c r="F286" s="382">
        <f t="shared" si="40"/>
        <v>42</v>
      </c>
      <c r="G286" s="379"/>
      <c r="H286" s="379"/>
      <c r="I286" s="379"/>
      <c r="J286" s="379"/>
      <c r="K286" s="379"/>
      <c r="L286" s="379"/>
      <c r="M286" s="379"/>
      <c r="N286" s="379" t="s">
        <v>643</v>
      </c>
      <c r="O286" s="383">
        <f t="shared" si="41"/>
        <v>42</v>
      </c>
    </row>
    <row r="287" spans="1:15" ht="15">
      <c r="A287" s="378">
        <f t="shared" si="39"/>
        <v>43</v>
      </c>
      <c r="B287" s="379" t="str">
        <f t="shared" si="42"/>
        <v>NM43</v>
      </c>
      <c r="C287" s="380" t="s">
        <v>904</v>
      </c>
      <c r="D287" s="379" t="s">
        <v>863</v>
      </c>
      <c r="E287" s="385">
        <v>0.33</v>
      </c>
      <c r="F287" s="382">
        <f t="shared" si="40"/>
        <v>43</v>
      </c>
      <c r="G287" s="379"/>
      <c r="H287" s="379"/>
      <c r="I287" s="379"/>
      <c r="J287" s="379"/>
      <c r="K287" s="379"/>
      <c r="L287" s="379"/>
      <c r="M287" s="379"/>
      <c r="N287" s="379" t="s">
        <v>643</v>
      </c>
      <c r="O287" s="383">
        <f t="shared" si="41"/>
        <v>43</v>
      </c>
    </row>
    <row r="288" spans="1:15" ht="15">
      <c r="A288" s="378">
        <f t="shared" si="39"/>
        <v>44</v>
      </c>
      <c r="B288" s="379" t="str">
        <f t="shared" si="42"/>
        <v>NM44</v>
      </c>
      <c r="C288" s="380" t="s">
        <v>905</v>
      </c>
      <c r="D288" s="379" t="s">
        <v>863</v>
      </c>
      <c r="E288" s="385">
        <v>0.39</v>
      </c>
      <c r="F288" s="382">
        <f t="shared" si="40"/>
        <v>44</v>
      </c>
      <c r="G288" s="379"/>
      <c r="H288" s="379"/>
      <c r="I288" s="379"/>
      <c r="J288" s="379"/>
      <c r="K288" s="379"/>
      <c r="L288" s="379"/>
      <c r="M288" s="379"/>
      <c r="N288" s="379" t="s">
        <v>643</v>
      </c>
      <c r="O288" s="383">
        <f t="shared" si="41"/>
        <v>44</v>
      </c>
    </row>
    <row r="289" spans="1:15" ht="15">
      <c r="A289" s="378">
        <f t="shared" si="39"/>
        <v>45</v>
      </c>
      <c r="B289" s="379" t="str">
        <f t="shared" si="42"/>
        <v>NM45</v>
      </c>
      <c r="C289" s="380" t="s">
        <v>906</v>
      </c>
      <c r="D289" s="379" t="s">
        <v>863</v>
      </c>
      <c r="E289" s="385">
        <v>0.44</v>
      </c>
      <c r="F289" s="382">
        <f t="shared" si="40"/>
        <v>45</v>
      </c>
      <c r="G289" s="379"/>
      <c r="H289" s="379"/>
      <c r="I289" s="379"/>
      <c r="J289" s="379"/>
      <c r="K289" s="379"/>
      <c r="L289" s="379"/>
      <c r="M289" s="379"/>
      <c r="N289" s="379" t="s">
        <v>643</v>
      </c>
      <c r="O289" s="383">
        <f t="shared" si="41"/>
        <v>45</v>
      </c>
    </row>
    <row r="290" spans="1:15" ht="15">
      <c r="A290" s="378">
        <f t="shared" si="39"/>
        <v>46</v>
      </c>
      <c r="B290" s="379" t="str">
        <f t="shared" si="42"/>
        <v>NM46</v>
      </c>
      <c r="C290" s="380" t="s">
        <v>907</v>
      </c>
      <c r="D290" s="379" t="s">
        <v>863</v>
      </c>
      <c r="E290" s="385">
        <v>0.222</v>
      </c>
      <c r="F290" s="382">
        <f t="shared" si="40"/>
        <v>46</v>
      </c>
      <c r="G290" s="379"/>
      <c r="H290" s="379"/>
      <c r="I290" s="379"/>
      <c r="J290" s="379"/>
      <c r="K290" s="379"/>
      <c r="L290" s="379"/>
      <c r="M290" s="379"/>
      <c r="N290" s="379" t="s">
        <v>640</v>
      </c>
      <c r="O290" s="383">
        <f t="shared" si="41"/>
        <v>46</v>
      </c>
    </row>
    <row r="291" spans="1:15" ht="15">
      <c r="A291" s="378">
        <f t="shared" si="39"/>
        <v>47</v>
      </c>
      <c r="B291" s="379" t="str">
        <f t="shared" si="42"/>
        <v>NM47</v>
      </c>
      <c r="C291" s="380" t="s">
        <v>908</v>
      </c>
      <c r="D291" s="379" t="s">
        <v>863</v>
      </c>
      <c r="E291" s="385">
        <v>0.23799999999999999</v>
      </c>
      <c r="F291" s="382">
        <f t="shared" si="40"/>
        <v>47</v>
      </c>
      <c r="G291" s="379"/>
      <c r="H291" s="379"/>
      <c r="I291" s="379"/>
      <c r="J291" s="379"/>
      <c r="K291" s="379"/>
      <c r="L291" s="379"/>
      <c r="M291" s="379"/>
      <c r="N291" s="379" t="s">
        <v>640</v>
      </c>
      <c r="O291" s="383">
        <f t="shared" si="41"/>
        <v>47</v>
      </c>
    </row>
    <row r="292" spans="1:15" ht="15">
      <c r="A292" s="378">
        <f t="shared" si="39"/>
        <v>48</v>
      </c>
      <c r="B292" s="379" t="str">
        <f t="shared" si="42"/>
        <v>NM48</v>
      </c>
      <c r="C292" s="380" t="s">
        <v>909</v>
      </c>
      <c r="D292" s="379" t="s">
        <v>863</v>
      </c>
      <c r="E292" s="385">
        <v>0.29399999999999998</v>
      </c>
      <c r="F292" s="382">
        <f t="shared" si="40"/>
        <v>48</v>
      </c>
      <c r="G292" s="379"/>
      <c r="H292" s="379"/>
      <c r="I292" s="379"/>
      <c r="J292" s="379"/>
      <c r="K292" s="379"/>
      <c r="L292" s="379"/>
      <c r="M292" s="379"/>
      <c r="N292" s="379" t="s">
        <v>640</v>
      </c>
      <c r="O292" s="383">
        <f t="shared" si="41"/>
        <v>48</v>
      </c>
    </row>
    <row r="293" spans="1:15" ht="15">
      <c r="A293" s="378">
        <f t="shared" si="39"/>
        <v>49</v>
      </c>
      <c r="B293" s="379" t="str">
        <f t="shared" si="42"/>
        <v>NM49</v>
      </c>
      <c r="C293" s="380" t="s">
        <v>910</v>
      </c>
      <c r="D293" s="379" t="s">
        <v>863</v>
      </c>
      <c r="E293" s="385">
        <v>3.6999999999999998E-2</v>
      </c>
      <c r="F293" s="382">
        <f t="shared" si="40"/>
        <v>49</v>
      </c>
      <c r="G293" s="379"/>
      <c r="H293" s="379"/>
      <c r="I293" s="379"/>
      <c r="J293" s="379"/>
      <c r="K293" s="379"/>
      <c r="L293" s="379"/>
      <c r="M293" s="379"/>
      <c r="N293" s="379" t="s">
        <v>646</v>
      </c>
      <c r="O293" s="383">
        <f t="shared" si="41"/>
        <v>49</v>
      </c>
    </row>
    <row r="294" spans="1:15" ht="15">
      <c r="A294" s="378">
        <f t="shared" si="39"/>
        <v>50</v>
      </c>
      <c r="B294" s="379" t="str">
        <f t="shared" si="42"/>
        <v>NM50</v>
      </c>
      <c r="C294" s="380" t="s">
        <v>911</v>
      </c>
      <c r="D294" s="379" t="s">
        <v>863</v>
      </c>
      <c r="E294" s="385">
        <v>0.15</v>
      </c>
      <c r="F294" s="382">
        <f t="shared" si="40"/>
        <v>50</v>
      </c>
      <c r="G294" s="379"/>
      <c r="H294" s="379"/>
      <c r="I294" s="379"/>
      <c r="J294" s="379"/>
      <c r="K294" s="379"/>
      <c r="L294" s="379"/>
      <c r="M294" s="379"/>
      <c r="N294" s="379" t="s">
        <v>640</v>
      </c>
      <c r="O294" s="383">
        <f t="shared" si="41"/>
        <v>50</v>
      </c>
    </row>
    <row r="295" spans="1:15" ht="15">
      <c r="A295" s="378">
        <f t="shared" si="39"/>
        <v>51</v>
      </c>
      <c r="B295" s="379" t="str">
        <f t="shared" si="42"/>
        <v>NM51</v>
      </c>
      <c r="C295" s="380" t="s">
        <v>912</v>
      </c>
      <c r="D295" s="379" t="s">
        <v>863</v>
      </c>
      <c r="E295" s="385">
        <v>0.21</v>
      </c>
      <c r="F295" s="382">
        <f t="shared" si="40"/>
        <v>51</v>
      </c>
      <c r="G295" s="379"/>
      <c r="H295" s="379"/>
      <c r="I295" s="379"/>
      <c r="J295" s="379"/>
      <c r="K295" s="379"/>
      <c r="L295" s="379"/>
      <c r="M295" s="379"/>
      <c r="N295" s="379" t="s">
        <v>640</v>
      </c>
      <c r="O295" s="383">
        <f t="shared" si="41"/>
        <v>51</v>
      </c>
    </row>
    <row r="296" spans="1:15" ht="15">
      <c r="A296" s="378">
        <f t="shared" si="39"/>
        <v>52</v>
      </c>
      <c r="B296" s="379" t="str">
        <f t="shared" si="42"/>
        <v>NM52</v>
      </c>
      <c r="C296" s="380" t="s">
        <v>913</v>
      </c>
      <c r="D296" s="379" t="s">
        <v>863</v>
      </c>
      <c r="E296" s="385">
        <v>0.25</v>
      </c>
      <c r="F296" s="382">
        <f t="shared" si="40"/>
        <v>52</v>
      </c>
      <c r="G296" s="379"/>
      <c r="H296" s="379"/>
      <c r="I296" s="379"/>
      <c r="J296" s="379"/>
      <c r="K296" s="379"/>
      <c r="L296" s="379"/>
      <c r="M296" s="379"/>
      <c r="N296" s="379" t="s">
        <v>640</v>
      </c>
      <c r="O296" s="383">
        <f t="shared" si="41"/>
        <v>52</v>
      </c>
    </row>
    <row r="297" spans="1:15" ht="15">
      <c r="A297" s="378">
        <f t="shared" si="39"/>
        <v>53</v>
      </c>
      <c r="B297" s="379" t="str">
        <f t="shared" si="42"/>
        <v>NM53</v>
      </c>
      <c r="C297" s="380" t="s">
        <v>914</v>
      </c>
      <c r="D297" s="379" t="s">
        <v>863</v>
      </c>
      <c r="E297" s="385">
        <v>3.6999999999999998E-2</v>
      </c>
      <c r="F297" s="382">
        <f t="shared" si="40"/>
        <v>53</v>
      </c>
      <c r="G297" s="379"/>
      <c r="H297" s="379"/>
      <c r="I297" s="379"/>
      <c r="J297" s="379"/>
      <c r="K297" s="379"/>
      <c r="L297" s="379"/>
      <c r="M297" s="379"/>
      <c r="N297" s="379" t="s">
        <v>646</v>
      </c>
      <c r="O297" s="383">
        <f t="shared" si="41"/>
        <v>53</v>
      </c>
    </row>
    <row r="298" spans="1:15" ht="15">
      <c r="A298" s="378">
        <f t="shared" si="39"/>
        <v>54</v>
      </c>
      <c r="B298" s="379" t="str">
        <f t="shared" si="42"/>
        <v>NM54</v>
      </c>
      <c r="C298" s="380" t="s">
        <v>915</v>
      </c>
      <c r="D298" s="379" t="s">
        <v>863</v>
      </c>
      <c r="E298" s="385">
        <v>2.5999999999999999E-2</v>
      </c>
      <c r="F298" s="382">
        <f t="shared" si="40"/>
        <v>54</v>
      </c>
      <c r="G298" s="379"/>
      <c r="H298" s="379"/>
      <c r="I298" s="379"/>
      <c r="J298" s="379"/>
      <c r="K298" s="379"/>
      <c r="L298" s="379"/>
      <c r="M298" s="379"/>
      <c r="N298" s="379" t="s">
        <v>646</v>
      </c>
      <c r="O298" s="383">
        <f t="shared" si="41"/>
        <v>54</v>
      </c>
    </row>
    <row r="299" spans="1:15" ht="15">
      <c r="A299" s="378">
        <f t="shared" si="39"/>
        <v>55</v>
      </c>
      <c r="B299" s="379" t="str">
        <f t="shared" si="42"/>
        <v>NM55</v>
      </c>
      <c r="C299" s="380" t="s">
        <v>916</v>
      </c>
      <c r="D299" s="379" t="s">
        <v>863</v>
      </c>
      <c r="E299" s="385">
        <v>0.26</v>
      </c>
      <c r="F299" s="382">
        <f t="shared" si="40"/>
        <v>55</v>
      </c>
      <c r="G299" s="379"/>
      <c r="H299" s="379"/>
      <c r="I299" s="379"/>
      <c r="J299" s="379"/>
      <c r="K299" s="379"/>
      <c r="L299" s="379"/>
      <c r="M299" s="379"/>
      <c r="N299" s="379" t="s">
        <v>646</v>
      </c>
      <c r="O299" s="383">
        <f t="shared" si="41"/>
        <v>55</v>
      </c>
    </row>
    <row r="300" spans="1:15" ht="15">
      <c r="A300" s="378">
        <f t="shared" si="39"/>
        <v>56</v>
      </c>
      <c r="B300" s="379" t="str">
        <f t="shared" si="42"/>
        <v>NM56</v>
      </c>
      <c r="C300" s="380" t="s">
        <v>917</v>
      </c>
      <c r="D300" s="379" t="s">
        <v>863</v>
      </c>
      <c r="E300" s="385">
        <v>0.12</v>
      </c>
      <c r="F300" s="382">
        <f t="shared" si="40"/>
        <v>56</v>
      </c>
      <c r="G300" s="379"/>
      <c r="H300" s="379"/>
      <c r="I300" s="379"/>
      <c r="J300" s="379"/>
      <c r="K300" s="379"/>
      <c r="L300" s="379"/>
      <c r="M300" s="379"/>
      <c r="N300" s="379" t="s">
        <v>643</v>
      </c>
      <c r="O300" s="383">
        <f t="shared" si="41"/>
        <v>56</v>
      </c>
    </row>
    <row r="301" spans="1:15" ht="15">
      <c r="A301" s="378">
        <f t="shared" si="39"/>
        <v>57</v>
      </c>
      <c r="B301" s="379" t="str">
        <f t="shared" si="42"/>
        <v>NM57</v>
      </c>
      <c r="C301" s="380" t="s">
        <v>918</v>
      </c>
      <c r="D301" s="379" t="s">
        <v>863</v>
      </c>
      <c r="E301" s="385">
        <v>0.14000000000000001</v>
      </c>
      <c r="F301" s="382">
        <f t="shared" si="40"/>
        <v>57</v>
      </c>
      <c r="G301" s="379"/>
      <c r="H301" s="379"/>
      <c r="I301" s="379"/>
      <c r="J301" s="379"/>
      <c r="K301" s="379"/>
      <c r="L301" s="379"/>
      <c r="M301" s="379"/>
      <c r="N301" s="379" t="s">
        <v>649</v>
      </c>
      <c r="O301" s="383">
        <f t="shared" si="41"/>
        <v>57</v>
      </c>
    </row>
    <row r="302" spans="1:15" ht="15">
      <c r="A302" s="378">
        <f t="shared" si="39"/>
        <v>58</v>
      </c>
      <c r="B302" s="379" t="str">
        <f t="shared" si="42"/>
        <v>NM58</v>
      </c>
      <c r="C302" s="380" t="s">
        <v>919</v>
      </c>
      <c r="D302" s="379" t="s">
        <v>863</v>
      </c>
      <c r="E302" s="385">
        <v>0.14000000000000001</v>
      </c>
      <c r="F302" s="382">
        <f t="shared" si="40"/>
        <v>58</v>
      </c>
      <c r="G302" s="379"/>
      <c r="H302" s="379"/>
      <c r="I302" s="379"/>
      <c r="J302" s="379"/>
      <c r="K302" s="379"/>
      <c r="L302" s="379"/>
      <c r="M302" s="379"/>
      <c r="N302" s="379" t="s">
        <v>649</v>
      </c>
      <c r="O302" s="383">
        <f t="shared" si="41"/>
        <v>58</v>
      </c>
    </row>
    <row r="303" spans="1:15" ht="15">
      <c r="A303" s="378">
        <f t="shared" si="39"/>
        <v>59</v>
      </c>
      <c r="B303" s="379" t="str">
        <f t="shared" si="42"/>
        <v>NM59</v>
      </c>
      <c r="C303" s="380" t="s">
        <v>920</v>
      </c>
      <c r="D303" s="379" t="s">
        <v>863</v>
      </c>
      <c r="E303" s="385">
        <v>0.18</v>
      </c>
      <c r="F303" s="382">
        <f t="shared" si="40"/>
        <v>59</v>
      </c>
      <c r="G303" s="379"/>
      <c r="H303" s="379"/>
      <c r="I303" s="379"/>
      <c r="J303" s="379"/>
      <c r="K303" s="379"/>
      <c r="L303" s="379"/>
      <c r="M303" s="379"/>
      <c r="N303" s="379" t="s">
        <v>649</v>
      </c>
      <c r="O303" s="383">
        <f t="shared" si="41"/>
        <v>59</v>
      </c>
    </row>
    <row r="304" spans="1:15" ht="15">
      <c r="A304" s="378">
        <f t="shared" si="39"/>
        <v>60</v>
      </c>
      <c r="B304" s="379" t="str">
        <f t="shared" si="42"/>
        <v>NM60</v>
      </c>
      <c r="C304" s="380" t="s">
        <v>921</v>
      </c>
      <c r="D304" s="379" t="s">
        <v>863</v>
      </c>
      <c r="E304" s="385">
        <v>0.1</v>
      </c>
      <c r="F304" s="382">
        <f t="shared" si="40"/>
        <v>60</v>
      </c>
      <c r="G304" s="379"/>
      <c r="H304" s="379"/>
      <c r="I304" s="379"/>
      <c r="J304" s="379"/>
      <c r="K304" s="379"/>
      <c r="L304" s="379"/>
      <c r="M304" s="379"/>
      <c r="N304" s="379" t="s">
        <v>649</v>
      </c>
      <c r="O304" s="383">
        <f t="shared" si="41"/>
        <v>60</v>
      </c>
    </row>
    <row r="305" spans="1:15" ht="15">
      <c r="A305" s="378">
        <f t="shared" si="39"/>
        <v>61</v>
      </c>
      <c r="B305" s="379" t="str">
        <f t="shared" si="42"/>
        <v>NM61</v>
      </c>
      <c r="C305" s="380" t="s">
        <v>922</v>
      </c>
      <c r="D305" s="379" t="s">
        <v>863</v>
      </c>
      <c r="E305" s="385">
        <v>0.11</v>
      </c>
      <c r="F305" s="382">
        <f t="shared" si="40"/>
        <v>61</v>
      </c>
      <c r="G305" s="379"/>
      <c r="H305" s="379"/>
      <c r="I305" s="379"/>
      <c r="J305" s="379"/>
      <c r="K305" s="379"/>
      <c r="L305" s="379"/>
      <c r="M305" s="379"/>
      <c r="N305" s="379" t="s">
        <v>633</v>
      </c>
      <c r="O305" s="383">
        <f t="shared" si="41"/>
        <v>61</v>
      </c>
    </row>
    <row r="306" spans="1:15" ht="15">
      <c r="A306" s="378">
        <f t="shared" si="39"/>
        <v>62</v>
      </c>
      <c r="B306" s="379" t="str">
        <f t="shared" si="42"/>
        <v>NM62</v>
      </c>
      <c r="C306" s="380" t="s">
        <v>923</v>
      </c>
      <c r="D306" s="379" t="s">
        <v>863</v>
      </c>
      <c r="E306" s="385">
        <v>0.32</v>
      </c>
      <c r="F306" s="382">
        <f t="shared" si="40"/>
        <v>62</v>
      </c>
      <c r="G306" s="379"/>
      <c r="H306" s="379"/>
      <c r="I306" s="379"/>
      <c r="J306" s="379"/>
      <c r="K306" s="379"/>
      <c r="L306" s="379"/>
      <c r="M306" s="379"/>
      <c r="N306" s="379" t="s">
        <v>633</v>
      </c>
      <c r="O306" s="383">
        <f t="shared" si="41"/>
        <v>62</v>
      </c>
    </row>
    <row r="307" spans="1:15" ht="15">
      <c r="A307" s="378">
        <f t="shared" si="39"/>
        <v>63</v>
      </c>
      <c r="B307" s="379" t="str">
        <f t="shared" si="42"/>
        <v>NM63</v>
      </c>
      <c r="C307" s="380" t="s">
        <v>924</v>
      </c>
      <c r="D307" s="379" t="s">
        <v>863</v>
      </c>
      <c r="E307" s="385">
        <v>0.52</v>
      </c>
      <c r="F307" s="382">
        <f t="shared" si="40"/>
        <v>63</v>
      </c>
      <c r="G307" s="379"/>
      <c r="H307" s="379"/>
      <c r="I307" s="379"/>
      <c r="J307" s="379"/>
      <c r="K307" s="379"/>
      <c r="L307" s="379"/>
      <c r="M307" s="379"/>
      <c r="N307" s="379" t="s">
        <v>633</v>
      </c>
      <c r="O307" s="383">
        <f t="shared" si="41"/>
        <v>63</v>
      </c>
    </row>
    <row r="308" spans="1:15" ht="15">
      <c r="A308" s="378">
        <f t="shared" si="39"/>
        <v>64</v>
      </c>
      <c r="B308" s="379" t="str">
        <f t="shared" si="42"/>
        <v>NM64</v>
      </c>
      <c r="C308" s="380" t="s">
        <v>925</v>
      </c>
      <c r="D308" s="379" t="s">
        <v>863</v>
      </c>
      <c r="E308" s="385">
        <v>1.7999999999999999E-2</v>
      </c>
      <c r="F308" s="382">
        <f t="shared" si="40"/>
        <v>64</v>
      </c>
      <c r="G308" s="379"/>
      <c r="H308" s="379"/>
      <c r="I308" s="379"/>
      <c r="J308" s="379"/>
      <c r="K308" s="379"/>
      <c r="L308" s="379"/>
      <c r="M308" s="379"/>
      <c r="N308" s="379" t="s">
        <v>633</v>
      </c>
      <c r="O308" s="383">
        <f t="shared" si="41"/>
        <v>64</v>
      </c>
    </row>
    <row r="309" spans="1:15" ht="15">
      <c r="A309" s="378"/>
      <c r="B309" s="387"/>
      <c r="C309" s="388"/>
      <c r="D309" s="387"/>
      <c r="E309" s="336"/>
      <c r="F309" s="389"/>
      <c r="G309" s="387"/>
      <c r="H309" s="387"/>
      <c r="I309" s="387"/>
      <c r="J309" s="387"/>
      <c r="K309" s="387"/>
      <c r="L309" s="387"/>
      <c r="M309" s="387"/>
      <c r="N309" s="387"/>
      <c r="O309" s="383"/>
    </row>
  </sheetData>
  <mergeCells count="2">
    <mergeCell ref="B2:C2"/>
    <mergeCell ref="G2:N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CONSTRUCTIONS</vt:lpstr>
      <vt:lpstr>MATERIALS</vt:lpstr>
      <vt:lpstr>WINDOWS</vt:lpstr>
      <vt:lpstr>WIN LAYERS</vt:lpstr>
      <vt:lpstr>SCHEDULES</vt:lpstr>
      <vt:lpstr>DAY_SCH</vt:lpstr>
      <vt:lpstr>D</vt:lpstr>
      <vt:lpstr>Templ-Cons</vt:lpstr>
      <vt:lpstr>Templ-Mats</vt:lpstr>
      <vt:lpstr>Templ-Win</vt:lpstr>
      <vt:lpstr>CSV1</vt:lpstr>
      <vt:lpstr>CSV2</vt:lpstr>
      <vt:lpstr>CSV3</vt:lpstr>
      <vt:lpstr>CSV4</vt:lpstr>
      <vt:lpstr>Data</vt:lpstr>
      <vt:lpstr>MatlsData</vt:lpstr>
      <vt:lpstr>PreDefWindowNames</vt:lpstr>
      <vt:lpstr>PreDefWindows</vt:lpstr>
      <vt:lpstr>Print_Area_1</vt:lpstr>
      <vt:lpstr>Print_Area_4</vt:lpstr>
      <vt:lpstr>Print_Titles_1</vt:lpstr>
      <vt:lpstr>Print_Titles_2</vt:lpstr>
      <vt:lpstr>Print_Titles_3</vt:lpstr>
      <vt:lpstr>TemplWinData</vt:lpstr>
      <vt:lpstr>WindowMatNames</vt:lpstr>
      <vt:lpstr>WinLayersData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Henniger</dc:creator>
  <cp:lastModifiedBy>mlee</cp:lastModifiedBy>
  <cp:revision>0</cp:revision>
  <dcterms:created xsi:type="dcterms:W3CDTF">2013-05-08T22:59:57Z</dcterms:created>
  <dcterms:modified xsi:type="dcterms:W3CDTF">2013-05-10T12:26:56Z</dcterms:modified>
</cp:coreProperties>
</file>