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\Downloads\"/>
    </mc:Choice>
  </mc:AlternateContent>
  <bookViews>
    <workbookView xWindow="-15" yWindow="0" windowWidth="4785" windowHeight="4200"/>
  </bookViews>
  <sheets>
    <sheet name="matrix" sheetId="2" r:id="rId1"/>
  </sheets>
  <calcPr calcId="152511" iterateDelta="1E-4"/>
</workbook>
</file>

<file path=xl/calcChain.xml><?xml version="1.0" encoding="utf-8"?>
<calcChain xmlns="http://schemas.openxmlformats.org/spreadsheetml/2006/main">
  <c r="N36" i="2" l="1"/>
  <c r="N33" i="2"/>
  <c r="N27" i="2"/>
  <c r="N30" i="2"/>
  <c r="K48" i="2"/>
  <c r="H45" i="2" l="1"/>
  <c r="G45" i="2"/>
  <c r="F45" i="2"/>
  <c r="H42" i="2"/>
  <c r="G42" i="2"/>
  <c r="J39" i="2"/>
  <c r="I39" i="2"/>
  <c r="J24" i="2"/>
  <c r="I24" i="2"/>
  <c r="H24" i="2"/>
  <c r="J21" i="2"/>
  <c r="I21" i="2"/>
  <c r="H21" i="2"/>
  <c r="K18" i="2"/>
  <c r="J18" i="2"/>
  <c r="I18" i="2"/>
  <c r="J15" i="2"/>
  <c r="I15" i="2"/>
  <c r="H15" i="2"/>
  <c r="J12" i="2"/>
  <c r="G12" i="2"/>
  <c r="F12" i="2"/>
  <c r="E12" i="2"/>
  <c r="J9" i="2"/>
  <c r="G9" i="2"/>
  <c r="F9" i="2"/>
  <c r="E9" i="2"/>
  <c r="M27" i="2"/>
  <c r="L27" i="2"/>
  <c r="M30" i="2"/>
  <c r="L30" i="2"/>
  <c r="L33" i="2"/>
  <c r="M33" i="2"/>
  <c r="M36" i="2"/>
  <c r="L36" i="2"/>
  <c r="E63" i="2"/>
  <c r="D63" i="2"/>
  <c r="E60" i="2"/>
  <c r="E57" i="2"/>
  <c r="C57" i="2"/>
  <c r="C60" i="2"/>
  <c r="C75" i="2"/>
  <c r="D75" i="2"/>
  <c r="D69" i="2"/>
  <c r="C69" i="2"/>
  <c r="M18" i="2"/>
  <c r="L18" i="2"/>
  <c r="L21" i="2"/>
  <c r="K21" i="2"/>
  <c r="L24" i="2"/>
  <c r="K24" i="2"/>
  <c r="A60" i="2"/>
  <c r="A57" i="2"/>
  <c r="D54" i="2"/>
  <c r="C54" i="2"/>
  <c r="A54" i="2"/>
  <c r="C51" i="2"/>
  <c r="D51" i="2"/>
  <c r="D48" i="2"/>
  <c r="C48" i="2"/>
  <c r="A51" i="2"/>
  <c r="A48" i="2"/>
  <c r="C45" i="2"/>
  <c r="C42" i="2"/>
  <c r="A42" i="2"/>
  <c r="C39" i="2"/>
  <c r="A39" i="2"/>
  <c r="C36" i="2"/>
  <c r="A36" i="2"/>
  <c r="C33" i="2"/>
  <c r="A33" i="2"/>
  <c r="C30" i="2"/>
  <c r="A30" i="2"/>
  <c r="C27" i="2"/>
  <c r="A27" i="2"/>
  <c r="C24" i="2"/>
  <c r="A24" i="2"/>
  <c r="C21" i="2"/>
  <c r="A21" i="2"/>
  <c r="C18" i="2"/>
  <c r="C15" i="2"/>
  <c r="A18" i="2"/>
  <c r="A15" i="2"/>
  <c r="C9" i="2"/>
  <c r="C12" i="2"/>
  <c r="A12" i="2"/>
  <c r="A9" i="2"/>
  <c r="K36" i="2" l="1"/>
  <c r="K33" i="2"/>
  <c r="K30" i="2"/>
  <c r="K27" i="2"/>
  <c r="F36" i="2" l="1"/>
  <c r="I36" i="2"/>
  <c r="H36" i="2"/>
  <c r="G36" i="2"/>
  <c r="E36" i="2"/>
  <c r="D36" i="2"/>
  <c r="C35" i="2"/>
  <c r="I33" i="2"/>
  <c r="H33" i="2"/>
  <c r="F33" i="2"/>
  <c r="C32" i="2"/>
  <c r="G33" i="2"/>
  <c r="E33" i="2"/>
  <c r="D33" i="2"/>
  <c r="I30" i="2"/>
  <c r="H30" i="2"/>
  <c r="F30" i="2"/>
  <c r="C26" i="2"/>
  <c r="C29" i="2"/>
  <c r="G30" i="2"/>
  <c r="E30" i="2"/>
  <c r="D30" i="2"/>
  <c r="I27" i="2"/>
  <c r="H27" i="2"/>
  <c r="G27" i="2"/>
  <c r="F27" i="2"/>
  <c r="E27" i="2"/>
  <c r="D27" i="2"/>
  <c r="D60" i="2" l="1"/>
  <c r="D57" i="2"/>
  <c r="G69" i="2"/>
  <c r="F69" i="2"/>
  <c r="I54" i="2"/>
  <c r="H54" i="2"/>
  <c r="G54" i="2"/>
  <c r="F54" i="2"/>
  <c r="E54" i="2"/>
  <c r="I51" i="2"/>
  <c r="H51" i="2"/>
  <c r="G51" i="2"/>
  <c r="F51" i="2"/>
  <c r="E51" i="2"/>
  <c r="H75" i="2" l="1"/>
  <c r="J75" i="2"/>
  <c r="F75" i="2"/>
  <c r="J45" i="2"/>
  <c r="I45" i="2"/>
  <c r="J42" i="2"/>
  <c r="I42" i="2"/>
  <c r="L39" i="2"/>
  <c r="K39" i="2"/>
  <c r="L48" i="2"/>
  <c r="I48" i="2"/>
  <c r="H48" i="2"/>
  <c r="G48" i="2"/>
  <c r="F48" i="2"/>
  <c r="E48" i="2"/>
  <c r="I75" i="2"/>
  <c r="G75" i="2"/>
  <c r="B75" i="2"/>
  <c r="D72" i="2"/>
  <c r="C72" i="2"/>
  <c r="E75" i="2" s="1"/>
  <c r="D66" i="2"/>
  <c r="C66" i="2"/>
  <c r="E69" i="2" s="1"/>
  <c r="O12" i="2"/>
  <c r="O9" i="2"/>
  <c r="N12" i="2"/>
  <c r="M12" i="2"/>
  <c r="L12" i="2"/>
  <c r="K12" i="2"/>
  <c r="C11" i="2"/>
  <c r="B12" i="2"/>
  <c r="N9" i="2" l="1"/>
  <c r="M9" i="2"/>
  <c r="G39" i="2"/>
  <c r="F39" i="2"/>
  <c r="G18" i="2" l="1"/>
  <c r="F18" i="2"/>
  <c r="F15" i="2"/>
  <c r="F21" i="2"/>
  <c r="F24" i="2"/>
  <c r="E42" i="2" l="1"/>
  <c r="E39" i="2"/>
  <c r="E45" i="2"/>
  <c r="D45" i="2"/>
  <c r="D42" i="2"/>
  <c r="D39" i="2"/>
  <c r="E24" i="2" l="1"/>
  <c r="D24" i="2"/>
  <c r="F17" i="2"/>
  <c r="F14" i="2"/>
  <c r="E21" i="2"/>
  <c r="D21" i="2"/>
  <c r="E18" i="2"/>
  <c r="D18" i="2"/>
  <c r="E15" i="2"/>
  <c r="D15" i="2"/>
  <c r="L9" i="2"/>
  <c r="K9" i="2"/>
  <c r="E6" i="2"/>
  <c r="D6" i="2"/>
  <c r="C6" i="2"/>
</calcChain>
</file>

<file path=xl/sharedStrings.xml><?xml version="1.0" encoding="utf-8"?>
<sst xmlns="http://schemas.openxmlformats.org/spreadsheetml/2006/main" count="396" uniqueCount="107">
  <si>
    <t>Eplus Class:</t>
  </si>
  <si>
    <t>A1</t>
  </si>
  <si>
    <t>N1</t>
  </si>
  <si>
    <t>N2</t>
  </si>
  <si>
    <t>A2</t>
  </si>
  <si>
    <t>DOE to Eplus Dictionary</t>
  </si>
  <si>
    <t>POLYGON</t>
  </si>
  <si>
    <t>BUILDING-SHADE</t>
  </si>
  <si>
    <t>GlobalGeometryRules</t>
  </si>
  <si>
    <t>A3</t>
  </si>
  <si>
    <t>A4</t>
  </si>
  <si>
    <t>Zone</t>
  </si>
  <si>
    <t>N3</t>
  </si>
  <si>
    <t>N4</t>
  </si>
  <si>
    <t>N5</t>
  </si>
  <si>
    <t>N6</t>
  </si>
  <si>
    <t>N7</t>
  </si>
  <si>
    <t>N8</t>
  </si>
  <si>
    <t>N9</t>
  </si>
  <si>
    <t>FLOOR</t>
  </si>
  <si>
    <t>SPACE</t>
  </si>
  <si>
    <t>X</t>
  </si>
  <si>
    <t>Y</t>
  </si>
  <si>
    <t>Z</t>
  </si>
  <si>
    <t>SPACE-HEIGHT</t>
  </si>
  <si>
    <t>DOE Keyword:</t>
  </si>
  <si>
    <t>A5</t>
  </si>
  <si>
    <t>INTERIOR-WALL</t>
  </si>
  <si>
    <t>EXTERIOR-WALL</t>
  </si>
  <si>
    <t>TOP</t>
  </si>
  <si>
    <t>BOTTOM</t>
  </si>
  <si>
    <t>LOCATION</t>
  </si>
  <si>
    <t>CONSTRUCTION</t>
  </si>
  <si>
    <t>INT-WALL-TYPE</t>
  </si>
  <si>
    <t>NEXT-TO</t>
  </si>
  <si>
    <t>explanation</t>
  </si>
  <si>
    <t>obtain from FLOOR</t>
  </si>
  <si>
    <t>UNDERGROUND-WALL</t>
  </si>
  <si>
    <t>WINDOW</t>
  </si>
  <si>
    <t>DOOR</t>
  </si>
  <si>
    <t>GLASS-TYPE</t>
  </si>
  <si>
    <t>Shading:Building</t>
  </si>
  <si>
    <t>AZIMUTH</t>
  </si>
  <si>
    <t>TILT</t>
  </si>
  <si>
    <t>HEIGHT</t>
  </si>
  <si>
    <t>WIDTH</t>
  </si>
  <si>
    <t>Window</t>
  </si>
  <si>
    <t>Door</t>
  </si>
  <si>
    <t>Preceding [EXTERIOR WALL] name</t>
  </si>
  <si>
    <t>Roof</t>
  </si>
  <si>
    <t>Wall:Exterior</t>
  </si>
  <si>
    <t>Wall:Underground</t>
  </si>
  <si>
    <t>Wall:Interzone</t>
  </si>
  <si>
    <t>Wall:Adiabatic</t>
  </si>
  <si>
    <t>obtain V# from [LOCATION] = 'SPACE-V#' and search V# in [POLYGON]</t>
  </si>
  <si>
    <t>ZONE-TYPE</t>
  </si>
  <si>
    <t>obtain from SPACE</t>
  </si>
  <si>
    <t>obtain from SPACE. If not exists, =0</t>
  </si>
  <si>
    <t>Azimuth angle</t>
  </si>
  <si>
    <t>Length</t>
  </si>
  <si>
    <t>Height</t>
  </si>
  <si>
    <t>NUMBER-OF-PEOPLE</t>
  </si>
  <si>
    <t>LIGHTING-KW</t>
  </si>
  <si>
    <t>LIGHTING-W/AREA</t>
  </si>
  <si>
    <t>EQUIPMENT-KW</t>
  </si>
  <si>
    <t>AREA/PERSON</t>
  </si>
  <si>
    <t>EQUIPMENT-W/AREA</t>
  </si>
  <si>
    <t>People</t>
  </si>
  <si>
    <t>Lights</t>
  </si>
  <si>
    <t>ElectricEquipment</t>
  </si>
  <si>
    <t>Schedule:Constant</t>
  </si>
  <si>
    <t>ThermostatSetpoint:DualSetpoint</t>
  </si>
  <si>
    <t>ControlTypeSch_DualSetPt</t>
  </si>
  <si>
    <t>Tstat_DualSetPt</t>
  </si>
  <si>
    <t>ZoneControl:Thermostat</t>
  </si>
  <si>
    <t>ZoneInfiltration Sch</t>
  </si>
  <si>
    <t>ZoneInfiltration:DesignFlowRate</t>
  </si>
  <si>
    <t>PEOPLE-SCHEDULE</t>
  </si>
  <si>
    <t>LIGHTING-SCHEDUL</t>
  </si>
  <si>
    <t>EQUIP-SCHEDULE</t>
  </si>
  <si>
    <t>PEOPLE-HG-LAT</t>
  </si>
  <si>
    <t>PEOPLE-HG-SENS</t>
  </si>
  <si>
    <t>MIN-FLOW/AREA</t>
  </si>
  <si>
    <t>ZONE</t>
  </si>
  <si>
    <t>SCHEDULE-PD</t>
  </si>
  <si>
    <t>Schedule:Year</t>
  </si>
  <si>
    <t>search for 'Cool' in [SCHEDULE-PD]</t>
  </si>
  <si>
    <t>search for 'Heat' in [SCHEDULE-PD]</t>
  </si>
  <si>
    <t>WEEK-SCHEDULE-PD</t>
  </si>
  <si>
    <t>Sch.Year_Heat</t>
  </si>
  <si>
    <t>Sch.Year_Cool</t>
  </si>
  <si>
    <t>A6</t>
  </si>
  <si>
    <t>A7</t>
  </si>
  <si>
    <t>Ceiling</t>
  </si>
  <si>
    <t>V1-X in [POLYGON]</t>
  </si>
  <si>
    <t>V1-Y in [POLYGON]</t>
  </si>
  <si>
    <t>Floor_Ground</t>
  </si>
  <si>
    <t>Floor_Interzone</t>
  </si>
  <si>
    <t>RoofCeiling:Detailed</t>
  </si>
  <si>
    <t>Floor:Detailed</t>
  </si>
  <si>
    <t>EXTENSIBLE!!</t>
  </si>
  <si>
    <t>FLOOR-HEIGHT</t>
  </si>
  <si>
    <t>Z in [POLYGON]</t>
  </si>
  <si>
    <t>[ZONE]</t>
  </si>
  <si>
    <t>[length]</t>
  </si>
  <si>
    <t>[height]</t>
  </si>
  <si>
    <t>[BUILDING-SHADE]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</si>
</sst>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/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2" xfId="0" applyFont="1" applyBorder="1"/>
    <xf numFmtId="0" fontId="3" fillId="0" borderId="2" xfId="0" applyFont="1" applyBorder="1"/>
    <xf numFmtId="0" fontId="2" fillId="0" borderId="0" xfId="0" applyFont="1" applyBorder="1"/>
    <xf numFmtId="0" fontId="3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Border="1"/>
    <xf numFmtId="0" fontId="2" fillId="0" borderId="2" xfId="0" applyFont="1" applyBorder="1" applyAlignment="1">
      <alignment wrapText="1"/>
    </xf>
    <xf numFmtId="0" fontId="2" fillId="0" borderId="3" xfId="0" applyFont="1" applyFill="1" applyBorder="1"/>
    <xf numFmtId="0" fontId="2" fillId="0" borderId="3" xfId="0" applyFont="1" applyBorder="1"/>
    <xf numFmtId="0" fontId="2" fillId="0" borderId="0" xfId="0" quotePrefix="1" applyFont="1" applyBorder="1" applyAlignment="1">
      <alignment wrapText="1"/>
    </xf>
    <xf numFmtId="0" fontId="4" fillId="0" borderId="0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4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76"/>
  <sheetViews>
    <sheetView tabSelected="1" zoomScale="85" zoomScaleNormal="85" workbookViewId="0">
      <pane xSplit="2" ySplit="4" topLeftCell="C20" activePane="bottomRight" state="frozen"/>
      <selection pane="topRight" activeCell="C1" sqref="C1"/>
      <selection pane="bottomLeft" activeCell="A5" sqref="A5"/>
      <selection pane="bottomRight" activeCell="N36" sqref="N36"/>
    </sheetView>
  </sheetViews>
  <sheetFormatPr defaultRowHeight="15" x14ac:dyDescent="0.25"/>
  <cols>
    <col min="1" max="1" width="14.42578125" customWidth="1"/>
    <col min="2" max="2" width="21.7109375" customWidth="1"/>
    <col min="3" max="3" width="19.140625" customWidth="1"/>
    <col min="4" max="4" width="17.5703125" customWidth="1"/>
    <col min="5" max="5" width="14.140625" customWidth="1"/>
    <col min="6" max="6" width="19.28515625" customWidth="1"/>
    <col min="7" max="9" width="14.140625" customWidth="1"/>
    <col min="10" max="10" width="14.42578125" customWidth="1"/>
    <col min="11" max="11" width="15.140625" customWidth="1"/>
    <col min="12" max="12" width="14.140625" customWidth="1"/>
    <col min="13" max="15" width="13.85546875" customWidth="1"/>
    <col min="16" max="66" width="9.85546875" customWidth="1"/>
  </cols>
  <sheetData>
    <row r="2" spans="1:53" x14ac:dyDescent="0.25">
      <c r="A2" s="1" t="s">
        <v>5</v>
      </c>
    </row>
    <row r="4" spans="1:53" s="12" customFormat="1" ht="39" thickBot="1" x14ac:dyDescent="0.25">
      <c r="A4" s="11" t="s">
        <v>25</v>
      </c>
      <c r="C4" s="12" t="s">
        <v>6</v>
      </c>
      <c r="D4" s="12" t="s">
        <v>7</v>
      </c>
      <c r="E4" s="12" t="s">
        <v>19</v>
      </c>
      <c r="F4" s="12" t="s">
        <v>23</v>
      </c>
      <c r="G4" s="12" t="s">
        <v>42</v>
      </c>
      <c r="H4" s="12" t="s">
        <v>101</v>
      </c>
      <c r="I4" s="12" t="s">
        <v>24</v>
      </c>
      <c r="J4" s="12" t="s">
        <v>20</v>
      </c>
      <c r="K4" s="12" t="s">
        <v>21</v>
      </c>
      <c r="L4" s="12" t="s">
        <v>22</v>
      </c>
      <c r="M4" s="12" t="s">
        <v>44</v>
      </c>
      <c r="N4" s="12" t="s">
        <v>55</v>
      </c>
      <c r="O4" s="12" t="s">
        <v>77</v>
      </c>
      <c r="P4" s="12" t="s">
        <v>78</v>
      </c>
      <c r="Q4" s="12" t="s">
        <v>79</v>
      </c>
      <c r="R4" s="12" t="s">
        <v>80</v>
      </c>
      <c r="S4" s="12" t="s">
        <v>81</v>
      </c>
      <c r="T4" s="12" t="s">
        <v>61</v>
      </c>
      <c r="U4" s="12" t="s">
        <v>65</v>
      </c>
      <c r="V4" s="12" t="s">
        <v>62</v>
      </c>
      <c r="W4" s="12" t="s">
        <v>63</v>
      </c>
      <c r="X4" s="12" t="s">
        <v>64</v>
      </c>
      <c r="Y4" s="14" t="s">
        <v>66</v>
      </c>
      <c r="Z4" s="12" t="s">
        <v>37</v>
      </c>
      <c r="AA4" s="12" t="s">
        <v>27</v>
      </c>
      <c r="AB4" s="12" t="s">
        <v>32</v>
      </c>
      <c r="AC4" s="12" t="s">
        <v>33</v>
      </c>
      <c r="AD4" s="12" t="s">
        <v>34</v>
      </c>
      <c r="AE4" s="12" t="s">
        <v>28</v>
      </c>
      <c r="AF4" s="12" t="s">
        <v>31</v>
      </c>
      <c r="AG4" s="12" t="s">
        <v>29</v>
      </c>
      <c r="AH4" s="12" t="s">
        <v>30</v>
      </c>
      <c r="AI4" s="12" t="s">
        <v>38</v>
      </c>
      <c r="AJ4" s="12" t="s">
        <v>40</v>
      </c>
      <c r="AK4" s="12" t="s">
        <v>39</v>
      </c>
      <c r="AL4" s="12" t="s">
        <v>21</v>
      </c>
      <c r="AM4" s="12" t="s">
        <v>22</v>
      </c>
      <c r="AN4" s="12" t="s">
        <v>44</v>
      </c>
      <c r="AO4" s="12" t="s">
        <v>45</v>
      </c>
      <c r="AP4" s="12" t="s">
        <v>7</v>
      </c>
      <c r="AQ4" s="12" t="s">
        <v>42</v>
      </c>
      <c r="AR4" s="12" t="s">
        <v>43</v>
      </c>
      <c r="AS4" s="12" t="s">
        <v>21</v>
      </c>
      <c r="AT4" s="12" t="s">
        <v>22</v>
      </c>
      <c r="AU4" s="12" t="s">
        <v>23</v>
      </c>
      <c r="AV4" s="12" t="s">
        <v>44</v>
      </c>
      <c r="AW4" s="12" t="s">
        <v>45</v>
      </c>
      <c r="AX4" s="12" t="s">
        <v>83</v>
      </c>
      <c r="AY4" s="12" t="s">
        <v>82</v>
      </c>
      <c r="AZ4" s="12" t="s">
        <v>84</v>
      </c>
      <c r="BA4" s="12" t="s">
        <v>88</v>
      </c>
    </row>
    <row r="5" spans="1:53" s="2" customFormat="1" ht="12.75" x14ac:dyDescent="0.2">
      <c r="B5" s="6" t="s">
        <v>35</v>
      </c>
    </row>
    <row r="6" spans="1:53" s="2" customFormat="1" ht="12.75" x14ac:dyDescent="0.2">
      <c r="C6" s="2" t="str">
        <f>"'LowerLeftCorner'"</f>
        <v>'LowerLeftCorner'</v>
      </c>
      <c r="D6" s="2" t="str">
        <f>"'Counterclockwise'"</f>
        <v>'Counterclockwise'</v>
      </c>
      <c r="E6" s="2" t="str">
        <f>"'Relative'"</f>
        <v>'Relative'</v>
      </c>
    </row>
    <row r="7" spans="1:53" s="4" customFormat="1" ht="12.75" x14ac:dyDescent="0.2">
      <c r="A7" s="3" t="s">
        <v>0</v>
      </c>
      <c r="B7" s="4" t="s">
        <v>8</v>
      </c>
      <c r="C7" s="4" t="s">
        <v>1</v>
      </c>
      <c r="D7" s="4" t="s">
        <v>4</v>
      </c>
      <c r="E7" s="4" t="s">
        <v>9</v>
      </c>
    </row>
    <row r="8" spans="1:53" s="6" customFormat="1" ht="38.25" x14ac:dyDescent="0.2">
      <c r="B8" s="6" t="s">
        <v>35</v>
      </c>
      <c r="E8" s="6" t="s">
        <v>57</v>
      </c>
      <c r="F8" s="6" t="s">
        <v>57</v>
      </c>
      <c r="G8" s="6" t="s">
        <v>36</v>
      </c>
    </row>
    <row r="9" spans="1:53" s="2" customFormat="1" ht="38.25" x14ac:dyDescent="0.2">
      <c r="A9" s="2" t="str">
        <f>"[SPACE]"</f>
        <v>[SPACE]</v>
      </c>
      <c r="C9" s="2" t="str">
        <f>"[name]"</f>
        <v>[name]</v>
      </c>
      <c r="D9" s="2">
        <v>0</v>
      </c>
      <c r="E9" s="2" t="str">
        <f>"(["&amp;$K$4&amp;"]*0.3048).toFixed(3)"</f>
        <v>([X]*0.3048).toFixed(3)</v>
      </c>
      <c r="F9" s="2" t="str">
        <f>"(["&amp;$L$4&amp;"]*0.3048).toFixed(3)"</f>
        <v>([Y]*0.3048).toFixed(3)</v>
      </c>
      <c r="G9" s="2" t="str">
        <f>"(["&amp;$F$4&amp;"]*0.3048).toFixed(3)"</f>
        <v>([Z]*0.3048).toFixed(3)</v>
      </c>
      <c r="H9" s="2">
        <v>1</v>
      </c>
      <c r="I9" s="2">
        <v>1</v>
      </c>
      <c r="J9" s="2" t="str">
        <f>"(["&amp;$I$4&amp;"]*0.3048).toFixed(3)"</f>
        <v>([SPACE-HEIGHT]*0.3048).toFixed(3)</v>
      </c>
      <c r="K9" s="2" t="str">
        <f>"'autocalculate'"</f>
        <v>'autocalculate'</v>
      </c>
      <c r="L9" s="2" t="str">
        <f>"'autocalculate'"</f>
        <v>'autocalculate'</v>
      </c>
      <c r="M9" s="2" t="str">
        <f>"''"</f>
        <v>''</v>
      </c>
      <c r="N9" s="2" t="str">
        <f>"''"</f>
        <v>''</v>
      </c>
      <c r="O9" s="2" t="str">
        <f>"'Yes'"</f>
        <v>'Yes'</v>
      </c>
    </row>
    <row r="10" spans="1:53" s="4" customFormat="1" ht="12.75" x14ac:dyDescent="0.2">
      <c r="A10" s="3" t="s">
        <v>0</v>
      </c>
      <c r="B10" s="4" t="s">
        <v>11</v>
      </c>
      <c r="C10" s="4" t="s">
        <v>1</v>
      </c>
      <c r="D10" s="4" t="s">
        <v>2</v>
      </c>
      <c r="E10" s="4" t="s">
        <v>3</v>
      </c>
      <c r="F10" s="4" t="s">
        <v>12</v>
      </c>
      <c r="G10" s="4" t="s">
        <v>13</v>
      </c>
      <c r="H10" s="4" t="s">
        <v>14</v>
      </c>
      <c r="I10" s="4" t="s">
        <v>15</v>
      </c>
      <c r="J10" s="4" t="s">
        <v>16</v>
      </c>
      <c r="K10" s="4" t="s">
        <v>17</v>
      </c>
      <c r="L10" s="4" t="s">
        <v>18</v>
      </c>
      <c r="M10" s="4" t="s">
        <v>4</v>
      </c>
      <c r="N10" s="4" t="s">
        <v>9</v>
      </c>
      <c r="O10" s="4" t="s">
        <v>10</v>
      </c>
    </row>
    <row r="11" spans="1:53" s="6" customFormat="1" ht="38.25" x14ac:dyDescent="0.2">
      <c r="B11" s="6" t="s">
        <v>35</v>
      </c>
      <c r="C11" s="7" t="str">
        <f>"["&amp;$N$4&amp;"]=='UNCONDITIONED'"</f>
        <v>[ZONE-TYPE]=='UNCONDITIONED'</v>
      </c>
      <c r="E11" s="6" t="s">
        <v>36</v>
      </c>
      <c r="F11" s="6" t="s">
        <v>36</v>
      </c>
      <c r="G11" s="6" t="s">
        <v>56</v>
      </c>
      <c r="J11" s="6" t="s">
        <v>56</v>
      </c>
    </row>
    <row r="12" spans="1:53" s="2" customFormat="1" ht="12.75" x14ac:dyDescent="0.2">
      <c r="A12" s="2" t="str">
        <f>"[SPACE]"</f>
        <v>[SPACE]</v>
      </c>
      <c r="B12" s="2" t="str">
        <f>B13&amp;"_Plenum"</f>
        <v>Zone_Plenum</v>
      </c>
      <c r="C12" s="2" t="str">
        <f>"[name]"</f>
        <v>[name]</v>
      </c>
      <c r="D12" s="2">
        <v>0</v>
      </c>
      <c r="E12" s="2" t="str">
        <f>"(["&amp;$K$4&amp;"]*0.3048).toFixed(3)"</f>
        <v>([X]*0.3048).toFixed(3)</v>
      </c>
      <c r="F12" s="2" t="str">
        <f>"(["&amp;$L$4&amp;"]*0.3048).toFixed(3)"</f>
        <v>([Y]*0.3048).toFixed(3)</v>
      </c>
      <c r="G12" s="2" t="str">
        <f>"(["&amp;$F$4&amp;"]*0.3048).toFixed(3)"</f>
        <v>([Z]*0.3048).toFixed(3)</v>
      </c>
      <c r="H12" s="2">
        <v>1</v>
      </c>
      <c r="I12" s="2">
        <v>1</v>
      </c>
      <c r="J12" s="2" t="str">
        <f>"(["&amp;$M$4&amp;"]*0.3048).toFixed(3)"</f>
        <v>([HEIGHT]*0.3048).toFixed(3)</v>
      </c>
      <c r="K12" s="2" t="str">
        <f>"'autocalculate'"</f>
        <v>'autocalculate'</v>
      </c>
      <c r="L12" s="2" t="str">
        <f>"'autocalculate'"</f>
        <v>'autocalculate'</v>
      </c>
      <c r="M12" s="2" t="str">
        <f>"''"</f>
        <v>''</v>
      </c>
      <c r="N12" s="2" t="str">
        <f>"''"</f>
        <v>''</v>
      </c>
      <c r="O12" s="2" t="str">
        <f>"'No'"</f>
        <v>'No'</v>
      </c>
    </row>
    <row r="13" spans="1:53" s="4" customFormat="1" ht="12.75" x14ac:dyDescent="0.2">
      <c r="A13" s="3" t="s">
        <v>0</v>
      </c>
      <c r="B13" s="4" t="s">
        <v>11</v>
      </c>
      <c r="C13" s="4" t="s">
        <v>1</v>
      </c>
      <c r="D13" s="4" t="s">
        <v>2</v>
      </c>
      <c r="E13" s="4" t="s">
        <v>3</v>
      </c>
      <c r="F13" s="4" t="s">
        <v>12</v>
      </c>
      <c r="G13" s="4" t="s">
        <v>13</v>
      </c>
      <c r="H13" s="4" t="s">
        <v>14</v>
      </c>
      <c r="I13" s="4" t="s">
        <v>15</v>
      </c>
      <c r="J13" s="4" t="s">
        <v>16</v>
      </c>
      <c r="K13" s="4" t="s">
        <v>17</v>
      </c>
      <c r="L13" s="4" t="s">
        <v>18</v>
      </c>
      <c r="M13" s="4" t="s">
        <v>4</v>
      </c>
      <c r="N13" s="4" t="s">
        <v>9</v>
      </c>
      <c r="O13" s="4" t="s">
        <v>10</v>
      </c>
    </row>
    <row r="14" spans="1:53" s="7" customFormat="1" ht="24.75" customHeight="1" x14ac:dyDescent="0.2">
      <c r="B14" s="7" t="s">
        <v>35</v>
      </c>
      <c r="F14" s="7" t="str">
        <f>"["&amp;$AC$4&amp;"]=='ADIABATIC'"</f>
        <v>[INT-WALL-TYPE]=='ADIABATIC'</v>
      </c>
      <c r="H14" s="7" t="s">
        <v>54</v>
      </c>
      <c r="I14" s="7" t="s">
        <v>54</v>
      </c>
      <c r="J14" s="6" t="s">
        <v>36</v>
      </c>
      <c r="K14" s="7" t="s">
        <v>59</v>
      </c>
      <c r="L14" s="7" t="s">
        <v>60</v>
      </c>
    </row>
    <row r="15" spans="1:53" s="8" customFormat="1" ht="25.5" x14ac:dyDescent="0.2">
      <c r="A15" s="8" t="str">
        <f>"["&amp;$AA$4&amp;"]"</f>
        <v>[INTERIOR-WALL]</v>
      </c>
      <c r="C15" s="2" t="str">
        <f>"[name]"</f>
        <v>[name]</v>
      </c>
      <c r="D15" s="8" t="str">
        <f>"["&amp;$AB$4&amp;"]"</f>
        <v>[CONSTRUCTION]</v>
      </c>
      <c r="E15" s="8" t="str">
        <f>"["&amp;$J$4&amp;"]"</f>
        <v>[SPACE]</v>
      </c>
      <c r="F15" s="8" t="str">
        <f>"''"</f>
        <v>''</v>
      </c>
      <c r="G15" s="8">
        <v>90</v>
      </c>
      <c r="H15" s="2" t="str">
        <f>"(["&amp;$K$4&amp;"]*0.3048).toFixed(3)"</f>
        <v>([X]*0.3048).toFixed(3)</v>
      </c>
      <c r="I15" s="2" t="str">
        <f>"(["&amp;$L$4&amp;"]*0.3048).toFixed(3)"</f>
        <v>([Y]*0.3048).toFixed(3)</v>
      </c>
      <c r="J15" s="2" t="str">
        <f>"(["&amp;$F$4&amp;"]*0.3048).toFixed(3)"</f>
        <v>([Z]*0.3048).toFixed(3)</v>
      </c>
      <c r="K15" s="8" t="s">
        <v>104</v>
      </c>
      <c r="L15" s="8" t="s">
        <v>105</v>
      </c>
    </row>
    <row r="16" spans="1:53" s="10" customFormat="1" ht="12.75" x14ac:dyDescent="0.2">
      <c r="A16" s="9" t="s">
        <v>0</v>
      </c>
      <c r="B16" s="10" t="s">
        <v>53</v>
      </c>
      <c r="C16" s="10" t="s">
        <v>1</v>
      </c>
      <c r="D16" s="10" t="s">
        <v>4</v>
      </c>
      <c r="E16" s="10" t="s">
        <v>9</v>
      </c>
      <c r="F16" s="10" t="s">
        <v>2</v>
      </c>
      <c r="G16" s="10" t="s">
        <v>3</v>
      </c>
      <c r="H16" s="10" t="s">
        <v>12</v>
      </c>
      <c r="I16" s="10" t="s">
        <v>13</v>
      </c>
      <c r="J16" s="10" t="s">
        <v>14</v>
      </c>
      <c r="K16" s="10" t="s">
        <v>15</v>
      </c>
      <c r="L16" s="10" t="s">
        <v>16</v>
      </c>
    </row>
    <row r="17" spans="1:24" s="7" customFormat="1" ht="24" customHeight="1" x14ac:dyDescent="0.2">
      <c r="B17" s="7" t="s">
        <v>35</v>
      </c>
      <c r="F17" s="7" t="str">
        <f>"["&amp;$AC$4&amp;"]=='STANDARD'"</f>
        <v>[INT-WALL-TYPE]=='STANDARD'</v>
      </c>
      <c r="G17" s="7" t="s">
        <v>58</v>
      </c>
      <c r="I17" s="7" t="s">
        <v>54</v>
      </c>
      <c r="J17" s="7" t="s">
        <v>54</v>
      </c>
      <c r="K17" s="6" t="s">
        <v>36</v>
      </c>
      <c r="L17" s="7" t="s">
        <v>59</v>
      </c>
      <c r="M17" s="7" t="s">
        <v>60</v>
      </c>
    </row>
    <row r="18" spans="1:24" s="8" customFormat="1" ht="25.5" x14ac:dyDescent="0.2">
      <c r="A18" s="8" t="str">
        <f>"["&amp;$AA$4&amp;"]"</f>
        <v>[INTERIOR-WALL]</v>
      </c>
      <c r="C18" s="2" t="str">
        <f>"[name]"</f>
        <v>[name]</v>
      </c>
      <c r="D18" s="8" t="str">
        <f>"["&amp;$AB$4&amp;"]"</f>
        <v>[CONSTRUCTION]</v>
      </c>
      <c r="E18" s="8" t="str">
        <f>"["&amp;$J$4&amp;"]"</f>
        <v>[SPACE]</v>
      </c>
      <c r="F18" s="8" t="str">
        <f>"["&amp;$AD$4&amp;"]"</f>
        <v>[NEXT-TO]</v>
      </c>
      <c r="G18" s="8" t="str">
        <f>"''"</f>
        <v>''</v>
      </c>
      <c r="H18" s="8">
        <v>90</v>
      </c>
      <c r="I18" s="2" t="str">
        <f>"(["&amp;$K$4&amp;"]*0.3048).toFixed(3)"</f>
        <v>([X]*0.3048).toFixed(3)</v>
      </c>
      <c r="J18" s="2" t="str">
        <f>"(["&amp;$L$4&amp;"]*0.3048).toFixed(3)"</f>
        <v>([Y]*0.3048).toFixed(3)</v>
      </c>
      <c r="K18" s="2" t="str">
        <f>"(["&amp;$F$4&amp;"]*0.3048).toFixed(3)"</f>
        <v>([Z]*0.3048).toFixed(3)</v>
      </c>
      <c r="L18" s="25" t="str">
        <f>"[length]"</f>
        <v>[length]</v>
      </c>
      <c r="M18" s="25" t="str">
        <f>"[height]"</f>
        <v>[height]</v>
      </c>
    </row>
    <row r="19" spans="1:24" s="10" customFormat="1" ht="12.75" x14ac:dyDescent="0.2">
      <c r="A19" s="9" t="s">
        <v>0</v>
      </c>
      <c r="B19" s="10" t="s">
        <v>52</v>
      </c>
      <c r="C19" s="10" t="s">
        <v>1</v>
      </c>
      <c r="D19" s="10" t="s">
        <v>4</v>
      </c>
      <c r="E19" s="10" t="s">
        <v>9</v>
      </c>
      <c r="F19" s="10" t="s">
        <v>10</v>
      </c>
      <c r="G19" s="10" t="s">
        <v>2</v>
      </c>
      <c r="H19" s="10" t="s">
        <v>3</v>
      </c>
      <c r="I19" s="10" t="s">
        <v>12</v>
      </c>
      <c r="J19" s="10" t="s">
        <v>13</v>
      </c>
      <c r="K19" s="10" t="s">
        <v>14</v>
      </c>
      <c r="L19" s="10" t="s">
        <v>15</v>
      </c>
      <c r="M19" s="10" t="s">
        <v>16</v>
      </c>
    </row>
    <row r="20" spans="1:24" s="8" customFormat="1" ht="63.75" x14ac:dyDescent="0.2">
      <c r="B20" s="7" t="s">
        <v>35</v>
      </c>
      <c r="F20" s="7" t="s">
        <v>58</v>
      </c>
      <c r="G20" s="7"/>
      <c r="H20" s="7" t="s">
        <v>54</v>
      </c>
      <c r="I20" s="7" t="s">
        <v>54</v>
      </c>
      <c r="J20" s="6" t="s">
        <v>36</v>
      </c>
      <c r="K20" s="7" t="s">
        <v>59</v>
      </c>
      <c r="L20" s="7" t="s">
        <v>60</v>
      </c>
    </row>
    <row r="21" spans="1:24" s="8" customFormat="1" ht="25.5" x14ac:dyDescent="0.2">
      <c r="A21" s="8" t="str">
        <f>"["&amp;$Z$4&amp;"]"</f>
        <v>[UNDERGROUND-WALL]</v>
      </c>
      <c r="C21" s="2" t="str">
        <f>"[name]"</f>
        <v>[name]</v>
      </c>
      <c r="D21" s="8" t="str">
        <f>"["&amp;$AB$4&amp;"]"</f>
        <v>[CONSTRUCTION]</v>
      </c>
      <c r="E21" s="8" t="str">
        <f>"["&amp;$J$4&amp;"]"</f>
        <v>[SPACE]</v>
      </c>
      <c r="F21" s="8" t="str">
        <f>"''"</f>
        <v>''</v>
      </c>
      <c r="G21" s="8">
        <v>90</v>
      </c>
      <c r="H21" s="2" t="str">
        <f>"(["&amp;$K$4&amp;"]*0.3048).toFixed(3)"</f>
        <v>([X]*0.3048).toFixed(3)</v>
      </c>
      <c r="I21" s="2" t="str">
        <f>"(["&amp;$L$4&amp;"]*0.3048).toFixed(3)"</f>
        <v>([Y]*0.3048).toFixed(3)</v>
      </c>
      <c r="J21" s="2" t="str">
        <f>"(["&amp;$F$4&amp;"]*0.3048).toFixed(3)"</f>
        <v>([Z]*0.3048).toFixed(3)</v>
      </c>
      <c r="K21" s="25" t="str">
        <f>"[length]"</f>
        <v>[length]</v>
      </c>
      <c r="L21" s="25" t="str">
        <f>"[height]"</f>
        <v>[height]</v>
      </c>
    </row>
    <row r="22" spans="1:24" s="10" customFormat="1" ht="12.75" x14ac:dyDescent="0.2">
      <c r="A22" s="9" t="s">
        <v>0</v>
      </c>
      <c r="B22" s="10" t="s">
        <v>51</v>
      </c>
      <c r="C22" s="10" t="s">
        <v>1</v>
      </c>
      <c r="D22" s="10" t="s">
        <v>4</v>
      </c>
      <c r="E22" s="10" t="s">
        <v>9</v>
      </c>
      <c r="F22" s="10" t="s">
        <v>2</v>
      </c>
      <c r="G22" s="10" t="s">
        <v>3</v>
      </c>
      <c r="H22" s="10" t="s">
        <v>12</v>
      </c>
      <c r="I22" s="10" t="s">
        <v>13</v>
      </c>
      <c r="J22" s="10" t="s">
        <v>14</v>
      </c>
      <c r="K22" s="10" t="s">
        <v>15</v>
      </c>
      <c r="L22" s="10" t="s">
        <v>16</v>
      </c>
    </row>
    <row r="23" spans="1:24" s="8" customFormat="1" ht="63.75" x14ac:dyDescent="0.2">
      <c r="B23" s="7" t="s">
        <v>35</v>
      </c>
      <c r="F23" s="7" t="s">
        <v>58</v>
      </c>
      <c r="G23" s="7"/>
      <c r="H23" s="7" t="s">
        <v>54</v>
      </c>
      <c r="I23" s="7" t="s">
        <v>54</v>
      </c>
      <c r="J23" s="6" t="s">
        <v>36</v>
      </c>
      <c r="K23" s="7" t="s">
        <v>59</v>
      </c>
      <c r="L23" s="7" t="s">
        <v>60</v>
      </c>
    </row>
    <row r="24" spans="1:24" s="8" customFormat="1" ht="25.5" x14ac:dyDescent="0.2">
      <c r="A24" s="8" t="str">
        <f>"["&amp;$AE$4&amp;"]"</f>
        <v>[EXTERIOR-WALL]</v>
      </c>
      <c r="C24" s="2" t="str">
        <f>"[name]"</f>
        <v>[name]</v>
      </c>
      <c r="D24" s="8" t="str">
        <f>"["&amp;$AB$4&amp;"]"</f>
        <v>[CONSTRUCTION]</v>
      </c>
      <c r="E24" s="8" t="str">
        <f>"["&amp;$J$4&amp;"]"</f>
        <v>[SPACE]</v>
      </c>
      <c r="F24" s="8" t="str">
        <f>"''"</f>
        <v>''</v>
      </c>
      <c r="G24" s="8">
        <v>90</v>
      </c>
      <c r="H24" s="2" t="str">
        <f>"(["&amp;$K$4&amp;"]*0.3048).toFixed(3)"</f>
        <v>([X]*0.3048).toFixed(3)</v>
      </c>
      <c r="I24" s="2" t="str">
        <f>"(["&amp;$L$4&amp;"]*0.3048).toFixed(3)"</f>
        <v>([Y]*0.3048).toFixed(3)</v>
      </c>
      <c r="J24" s="2" t="str">
        <f>"(["&amp;$F$4&amp;"]*0.3048).toFixed(3)"</f>
        <v>([Z]*0.3048).toFixed(3)</v>
      </c>
      <c r="K24" s="25" t="str">
        <f>"[length]"</f>
        <v>[length]</v>
      </c>
      <c r="L24" s="25" t="str">
        <f>"[height]"</f>
        <v>[height]</v>
      </c>
    </row>
    <row r="25" spans="1:24" s="10" customFormat="1" ht="12.75" x14ac:dyDescent="0.2">
      <c r="A25" s="9" t="s">
        <v>0</v>
      </c>
      <c r="B25" s="10" t="s">
        <v>50</v>
      </c>
      <c r="C25" s="10" t="s">
        <v>1</v>
      </c>
      <c r="D25" s="10" t="s">
        <v>4</v>
      </c>
      <c r="E25" s="10" t="s">
        <v>9</v>
      </c>
      <c r="F25" s="10" t="s">
        <v>2</v>
      </c>
      <c r="G25" s="10" t="s">
        <v>3</v>
      </c>
      <c r="H25" s="10" t="s">
        <v>12</v>
      </c>
      <c r="I25" s="10" t="s">
        <v>13</v>
      </c>
      <c r="J25" s="10" t="s">
        <v>14</v>
      </c>
      <c r="K25" s="10" t="s">
        <v>15</v>
      </c>
      <c r="L25" s="10" t="s">
        <v>16</v>
      </c>
    </row>
    <row r="26" spans="1:24" s="25" customFormat="1" ht="25.5" x14ac:dyDescent="0.2">
      <c r="A26" s="23"/>
      <c r="B26" s="24" t="s">
        <v>35</v>
      </c>
      <c r="C26" s="24" t="str">
        <f>"["&amp;$AF$4&amp;"]=='"&amp;$AG$4&amp;"'"</f>
        <v>[LOCATION]=='TOP'</v>
      </c>
      <c r="K26" s="24"/>
      <c r="L26" s="24" t="s">
        <v>94</v>
      </c>
      <c r="M26" s="24" t="s">
        <v>95</v>
      </c>
      <c r="N26" s="24" t="s">
        <v>102</v>
      </c>
      <c r="O26" s="24"/>
      <c r="P26" s="24"/>
      <c r="Q26" s="24"/>
      <c r="R26" s="24"/>
      <c r="S26" s="24"/>
      <c r="T26" s="24"/>
      <c r="U26" s="24"/>
      <c r="V26" s="24"/>
      <c r="W26" s="24"/>
      <c r="X26" s="25" t="s">
        <v>100</v>
      </c>
    </row>
    <row r="27" spans="1:24" s="25" customFormat="1" ht="39" customHeight="1" x14ac:dyDescent="0.2">
      <c r="A27" s="25" t="str">
        <f>"["&amp;$AA$4&amp;"]"</f>
        <v>[INTERIOR-WALL]</v>
      </c>
      <c r="B27" s="25" t="s">
        <v>93</v>
      </c>
      <c r="C27" s="25" t="str">
        <f>"[name]"</f>
        <v>[name]</v>
      </c>
      <c r="D27" s="25" t="str">
        <f>"["&amp;$AB$4&amp;"]"</f>
        <v>[CONSTRUCTION]</v>
      </c>
      <c r="E27" s="25" t="str">
        <f>"["&amp;$J$4&amp;"]"</f>
        <v>[SPACE]</v>
      </c>
      <c r="F27" s="25" t="str">
        <f>"'Adiabatic'"</f>
        <v>'Adiabatic'</v>
      </c>
      <c r="G27" s="25" t="str">
        <f>"''"</f>
        <v>''</v>
      </c>
      <c r="H27" s="25" t="str">
        <f>"'NoSun'"</f>
        <v>'NoSun'</v>
      </c>
      <c r="I27" s="25" t="str">
        <f>"'NoWind'"</f>
        <v>'NoWind'</v>
      </c>
      <c r="J27" s="25">
        <v>0</v>
      </c>
      <c r="K27" s="25" t="str">
        <f>"'autocalculate'"</f>
        <v>'autocalculate'</v>
      </c>
      <c r="L27" s="25" t="str">
        <f>"##(item.X*0.3048).toFixed(3)"</f>
        <v>##(item.X*0.3048).toFixed(3)</v>
      </c>
      <c r="M27" s="25" t="str">
        <f>"##(item.Y*0.3048).toFixed(3)"</f>
        <v>##(item.Y*0.3048).toFixed(3)</v>
      </c>
      <c r="N27" s="25" t="str">
        <f>"##((+["&amp;$F$4&amp;"]+(+["&amp;$I$4&amp;"]))*0.3048).toFixed(3)"</f>
        <v>##((+[Z]+(+[SPACE-HEIGHT]))*0.3048).toFixed(3)</v>
      </c>
    </row>
    <row r="28" spans="1:24" s="27" customFormat="1" ht="12.75" x14ac:dyDescent="0.2">
      <c r="A28" s="26" t="s">
        <v>0</v>
      </c>
      <c r="B28" s="27" t="s">
        <v>98</v>
      </c>
      <c r="C28" s="27" t="s">
        <v>1</v>
      </c>
      <c r="D28" s="27" t="s">
        <v>4</v>
      </c>
      <c r="E28" s="27" t="s">
        <v>9</v>
      </c>
      <c r="F28" s="27" t="s">
        <v>10</v>
      </c>
      <c r="G28" s="27" t="s">
        <v>26</v>
      </c>
      <c r="H28" s="27" t="s">
        <v>91</v>
      </c>
      <c r="I28" s="27" t="s">
        <v>92</v>
      </c>
      <c r="J28" s="27" t="s">
        <v>2</v>
      </c>
      <c r="K28" s="27" t="s">
        <v>3</v>
      </c>
      <c r="L28" s="27" t="s">
        <v>12</v>
      </c>
      <c r="M28" s="27" t="s">
        <v>13</v>
      </c>
      <c r="N28" s="27" t="s">
        <v>14</v>
      </c>
    </row>
    <row r="29" spans="1:24" s="25" customFormat="1" ht="25.5" x14ac:dyDescent="0.2">
      <c r="A29" s="23"/>
      <c r="B29" s="24" t="s">
        <v>35</v>
      </c>
      <c r="C29" s="24" t="str">
        <f>"["&amp;$AF$4&amp;"]=='"&amp;$AG$4&amp;"'"</f>
        <v>[LOCATION]=='TOP'</v>
      </c>
      <c r="K29" s="24"/>
      <c r="L29" s="24" t="s">
        <v>94</v>
      </c>
      <c r="M29" s="24" t="s">
        <v>95</v>
      </c>
      <c r="N29" s="24" t="s">
        <v>102</v>
      </c>
      <c r="O29" s="24"/>
      <c r="P29" s="24"/>
      <c r="Q29" s="24"/>
      <c r="R29" s="24"/>
      <c r="S29" s="24"/>
      <c r="T29" s="24"/>
      <c r="U29" s="24"/>
      <c r="V29" s="24"/>
      <c r="W29" s="24"/>
      <c r="X29" s="25" t="s">
        <v>100</v>
      </c>
    </row>
    <row r="30" spans="1:24" s="25" customFormat="1" ht="38.25" x14ac:dyDescent="0.2">
      <c r="A30" s="25" t="str">
        <f>"["&amp;$AE$4&amp;"]"</f>
        <v>[EXTERIOR-WALL]</v>
      </c>
      <c r="B30" s="25" t="s">
        <v>49</v>
      </c>
      <c r="C30" s="25" t="str">
        <f>"[name]"</f>
        <v>[name]</v>
      </c>
      <c r="D30" s="25" t="str">
        <f>"["&amp;$AB$4&amp;"]"</f>
        <v>[CONSTRUCTION]</v>
      </c>
      <c r="E30" s="25" t="str">
        <f>"["&amp;$J$4&amp;"]"</f>
        <v>[SPACE]</v>
      </c>
      <c r="F30" s="25" t="str">
        <f>"'Outdoors'"</f>
        <v>'Outdoors'</v>
      </c>
      <c r="G30" s="25" t="str">
        <f>"''"</f>
        <v>''</v>
      </c>
      <c r="H30" s="25" t="str">
        <f>"'SunExposed'"</f>
        <v>'SunExposed'</v>
      </c>
      <c r="I30" s="25" t="str">
        <f>"'WindExposed'"</f>
        <v>'WindExposed'</v>
      </c>
      <c r="J30" s="25">
        <v>0</v>
      </c>
      <c r="K30" s="25" t="str">
        <f>"'autocalculate'"</f>
        <v>'autocalculate'</v>
      </c>
      <c r="L30" s="25" t="str">
        <f>"##(item.X*0.3048).toFixed(3)"</f>
        <v>##(item.X*0.3048).toFixed(3)</v>
      </c>
      <c r="M30" s="25" t="str">
        <f>"##(item.Y*0.3048).toFixed(3)"</f>
        <v>##(item.Y*0.3048).toFixed(3)</v>
      </c>
      <c r="N30" s="25" t="str">
        <f>"##((+["&amp;$F$4&amp;"]+(+["&amp;$H$4&amp;"]))*0.3048).toFixed(3)"</f>
        <v>##((+[Z]+(+[FLOOR-HEIGHT]))*0.3048).toFixed(3)</v>
      </c>
    </row>
    <row r="31" spans="1:24" s="27" customFormat="1" ht="12.75" x14ac:dyDescent="0.2">
      <c r="A31" s="26" t="s">
        <v>0</v>
      </c>
      <c r="B31" s="27" t="s">
        <v>98</v>
      </c>
      <c r="C31" s="27" t="s">
        <v>1</v>
      </c>
      <c r="D31" s="27" t="s">
        <v>4</v>
      </c>
      <c r="E31" s="27" t="s">
        <v>9</v>
      </c>
      <c r="F31" s="27" t="s">
        <v>10</v>
      </c>
      <c r="G31" s="27" t="s">
        <v>26</v>
      </c>
      <c r="H31" s="27" t="s">
        <v>91</v>
      </c>
      <c r="I31" s="27" t="s">
        <v>92</v>
      </c>
      <c r="J31" s="27" t="s">
        <v>2</v>
      </c>
      <c r="K31" s="27" t="s">
        <v>3</v>
      </c>
      <c r="L31" s="27" t="s">
        <v>12</v>
      </c>
      <c r="M31" s="27" t="s">
        <v>13</v>
      </c>
      <c r="N31" s="27" t="s">
        <v>14</v>
      </c>
    </row>
    <row r="32" spans="1:24" s="25" customFormat="1" ht="25.5" x14ac:dyDescent="0.2">
      <c r="A32" s="23"/>
      <c r="B32" s="24" t="s">
        <v>35</v>
      </c>
      <c r="C32" s="24" t="str">
        <f>"["&amp;$AF$4&amp;"]=='"&amp;$AH$4&amp;"'"</f>
        <v>[LOCATION]=='BOTTOM'</v>
      </c>
      <c r="K32" s="24"/>
      <c r="L32" s="24" t="s">
        <v>94</v>
      </c>
      <c r="M32" s="24" t="s">
        <v>95</v>
      </c>
      <c r="N32" s="24" t="s">
        <v>102</v>
      </c>
      <c r="O32" s="24"/>
      <c r="P32" s="24"/>
      <c r="Q32" s="24"/>
      <c r="R32" s="24"/>
      <c r="S32" s="24"/>
      <c r="T32" s="24"/>
      <c r="U32" s="24"/>
      <c r="V32" s="24"/>
      <c r="W32" s="24"/>
      <c r="X32" s="25" t="s">
        <v>100</v>
      </c>
    </row>
    <row r="33" spans="1:24" s="25" customFormat="1" ht="25.5" x14ac:dyDescent="0.2">
      <c r="A33" s="25" t="str">
        <f>"["&amp;$Z$4&amp;"]"</f>
        <v>[UNDERGROUND-WALL]</v>
      </c>
      <c r="B33" s="25" t="s">
        <v>96</v>
      </c>
      <c r="C33" s="25" t="str">
        <f>"[name]"</f>
        <v>[name]</v>
      </c>
      <c r="D33" s="25" t="str">
        <f>"["&amp;$AB$4&amp;"]"</f>
        <v>[CONSTRUCTION]</v>
      </c>
      <c r="E33" s="25" t="str">
        <f>"["&amp;$J$4&amp;"]"</f>
        <v>[SPACE]</v>
      </c>
      <c r="F33" s="25" t="str">
        <f>"'Ground'"</f>
        <v>'Ground'</v>
      </c>
      <c r="G33" s="25" t="str">
        <f>"''"</f>
        <v>''</v>
      </c>
      <c r="H33" s="25" t="str">
        <f>"'NoSun'"</f>
        <v>'NoSun'</v>
      </c>
      <c r="I33" s="25" t="str">
        <f>"'NoWind'"</f>
        <v>'NoWind'</v>
      </c>
      <c r="J33" s="25">
        <v>0</v>
      </c>
      <c r="K33" s="25" t="str">
        <f>"'autocalculate'"</f>
        <v>'autocalculate'</v>
      </c>
      <c r="L33" s="25" t="str">
        <f>"##(item.X*0.3048).toFixed(3)"</f>
        <v>##(item.X*0.3048).toFixed(3)</v>
      </c>
      <c r="M33" s="25" t="str">
        <f>"##(item.Y*0.3048).toFixed(3)"</f>
        <v>##(item.Y*0.3048).toFixed(3)</v>
      </c>
      <c r="N33" s="25" t="str">
        <f>"##(+["&amp;$F$4&amp;"]*0.3048).toFixed(3)"</f>
        <v>##(+[Z]*0.3048).toFixed(3)</v>
      </c>
    </row>
    <row r="34" spans="1:24" s="27" customFormat="1" ht="12.75" x14ac:dyDescent="0.2">
      <c r="A34" s="26" t="s">
        <v>0</v>
      </c>
      <c r="B34" s="27" t="s">
        <v>99</v>
      </c>
      <c r="C34" s="27" t="s">
        <v>1</v>
      </c>
      <c r="D34" s="27" t="s">
        <v>4</v>
      </c>
      <c r="E34" s="27" t="s">
        <v>9</v>
      </c>
      <c r="F34" s="27" t="s">
        <v>10</v>
      </c>
      <c r="G34" s="27" t="s">
        <v>26</v>
      </c>
      <c r="H34" s="27" t="s">
        <v>91</v>
      </c>
      <c r="I34" s="27" t="s">
        <v>92</v>
      </c>
      <c r="J34" s="27" t="s">
        <v>2</v>
      </c>
      <c r="K34" s="27" t="s">
        <v>3</v>
      </c>
      <c r="L34" s="27" t="s">
        <v>12</v>
      </c>
      <c r="M34" s="27" t="s">
        <v>13</v>
      </c>
      <c r="N34" s="27" t="s">
        <v>14</v>
      </c>
    </row>
    <row r="35" spans="1:24" s="25" customFormat="1" ht="25.5" x14ac:dyDescent="0.2">
      <c r="A35" s="23"/>
      <c r="B35" s="24" t="s">
        <v>35</v>
      </c>
      <c r="C35" s="24" t="str">
        <f>"["&amp;$AF$4&amp;"]=='"&amp;$AH$4&amp;"'"</f>
        <v>[LOCATION]=='BOTTOM'</v>
      </c>
      <c r="K35" s="24"/>
      <c r="L35" s="24" t="s">
        <v>94</v>
      </c>
      <c r="M35" s="24" t="s">
        <v>95</v>
      </c>
      <c r="N35" s="24" t="s">
        <v>102</v>
      </c>
      <c r="O35" s="24"/>
      <c r="P35" s="24"/>
      <c r="Q35" s="24"/>
      <c r="R35" s="24"/>
      <c r="S35" s="24"/>
      <c r="T35" s="24"/>
      <c r="U35" s="24"/>
      <c r="V35" s="24"/>
      <c r="W35" s="24"/>
      <c r="X35" s="25" t="s">
        <v>100</v>
      </c>
    </row>
    <row r="36" spans="1:24" s="25" customFormat="1" ht="25.5" x14ac:dyDescent="0.2">
      <c r="A36" s="25" t="str">
        <f>"["&amp;$AA$4&amp;"]"</f>
        <v>[INTERIOR-WALL]</v>
      </c>
      <c r="B36" s="25" t="s">
        <v>97</v>
      </c>
      <c r="C36" s="25" t="str">
        <f>"[name]"</f>
        <v>[name]</v>
      </c>
      <c r="D36" s="25" t="str">
        <f>"["&amp;$AB$4&amp;"]"</f>
        <v>[CONSTRUCTION]</v>
      </c>
      <c r="E36" s="25" t="str">
        <f>"["&amp;$J$4&amp;"]"</f>
        <v>[SPACE]</v>
      </c>
      <c r="F36" s="25" t="str">
        <f>"'Adiabatic'"</f>
        <v>'Adiabatic'</v>
      </c>
      <c r="G36" s="25" t="str">
        <f>"''"</f>
        <v>''</v>
      </c>
      <c r="H36" s="25" t="str">
        <f>"'NoSun'"</f>
        <v>'NoSun'</v>
      </c>
      <c r="I36" s="25" t="str">
        <f>"'NoWind'"</f>
        <v>'NoWind'</v>
      </c>
      <c r="J36" s="25">
        <v>0</v>
      </c>
      <c r="K36" s="25" t="str">
        <f>"'autocalculate'"</f>
        <v>'autocalculate'</v>
      </c>
      <c r="L36" s="25" t="str">
        <f>"##(item.X*0.3048).toFixed(3)"</f>
        <v>##(item.X*0.3048).toFixed(3)</v>
      </c>
      <c r="M36" s="25" t="str">
        <f>"##(item.Y*0.3048).toFixed(3)"</f>
        <v>##(item.Y*0.3048).toFixed(3)</v>
      </c>
      <c r="N36" s="25" t="str">
        <f>"##(+["&amp;$F$4&amp;"]*0.3048).toFixed(3)"</f>
        <v>##(+[Z]*0.3048).toFixed(3)</v>
      </c>
    </row>
    <row r="37" spans="1:24" s="27" customFormat="1" ht="12.75" x14ac:dyDescent="0.2">
      <c r="A37" s="26" t="s">
        <v>0</v>
      </c>
      <c r="B37" s="27" t="s">
        <v>99</v>
      </c>
      <c r="C37" s="27" t="s">
        <v>1</v>
      </c>
      <c r="D37" s="27" t="s">
        <v>4</v>
      </c>
      <c r="E37" s="27" t="s">
        <v>9</v>
      </c>
      <c r="F37" s="27" t="s">
        <v>10</v>
      </c>
      <c r="G37" s="27" t="s">
        <v>26</v>
      </c>
      <c r="H37" s="27" t="s">
        <v>91</v>
      </c>
      <c r="I37" s="27" t="s">
        <v>92</v>
      </c>
      <c r="J37" s="27" t="s">
        <v>2</v>
      </c>
      <c r="K37" s="27" t="s">
        <v>3</v>
      </c>
      <c r="L37" s="27" t="s">
        <v>12</v>
      </c>
      <c r="M37" s="27" t="s">
        <v>13</v>
      </c>
      <c r="N37" s="27" t="s">
        <v>14</v>
      </c>
    </row>
    <row r="38" spans="1:24" s="6" customFormat="1" ht="38.25" x14ac:dyDescent="0.2">
      <c r="B38" s="6" t="s">
        <v>35</v>
      </c>
      <c r="E38" s="6" t="s">
        <v>48</v>
      </c>
      <c r="I38" s="7"/>
      <c r="J38" s="7"/>
    </row>
    <row r="39" spans="1:24" s="2" customFormat="1" ht="25.5" x14ac:dyDescent="0.2">
      <c r="A39" s="2" t="str">
        <f>"["&amp;$AI$4&amp;"]"</f>
        <v>[WINDOW]</v>
      </c>
      <c r="C39" s="2" t="str">
        <f>"[name]"</f>
        <v>[name]</v>
      </c>
      <c r="D39" s="2" t="str">
        <f>"["&amp;$AJ$4&amp;"]"</f>
        <v>[GLASS-TYPE]</v>
      </c>
      <c r="E39" s="2" t="str">
        <f>"["&amp;$AE$4&amp;"]"</f>
        <v>[EXTERIOR-WALL]</v>
      </c>
      <c r="F39" s="2" t="str">
        <f>"''"</f>
        <v>''</v>
      </c>
      <c r="G39" s="2" t="str">
        <f>"''"</f>
        <v>''</v>
      </c>
      <c r="H39" s="2">
        <v>1</v>
      </c>
      <c r="I39" s="2" t="str">
        <f>"(["&amp;$AL$4&amp;"]*0.3048).toFixed(3)"</f>
        <v>([X]*0.3048).toFixed(3)</v>
      </c>
      <c r="J39" s="2" t="str">
        <f>"(["&amp;$AM$4&amp;"]*0.3048).toFixed(3)"</f>
        <v>([Y]*0.3048).toFixed(3)</v>
      </c>
      <c r="K39" s="2" t="str">
        <f>"["&amp;$AO$4&amp;"]*0.3048"</f>
        <v>[WIDTH]*0.3048</v>
      </c>
      <c r="L39" s="2" t="str">
        <f>"["&amp;$AN$4&amp;"]*0.3048"</f>
        <v>[HEIGHT]*0.3048</v>
      </c>
    </row>
    <row r="40" spans="1:24" s="4" customFormat="1" ht="12.75" x14ac:dyDescent="0.2">
      <c r="A40" s="3" t="s">
        <v>0</v>
      </c>
      <c r="B40" s="4" t="s">
        <v>46</v>
      </c>
      <c r="C40" s="4" t="s">
        <v>1</v>
      </c>
      <c r="D40" s="4" t="s">
        <v>4</v>
      </c>
      <c r="E40" s="4" t="s">
        <v>9</v>
      </c>
      <c r="F40" s="4" t="s">
        <v>10</v>
      </c>
      <c r="G40" s="4" t="s">
        <v>26</v>
      </c>
      <c r="H40" s="4" t="s">
        <v>2</v>
      </c>
      <c r="I40" s="4" t="s">
        <v>3</v>
      </c>
      <c r="J40" s="4" t="s">
        <v>12</v>
      </c>
      <c r="K40" s="4" t="s">
        <v>13</v>
      </c>
      <c r="L40" s="4" t="s">
        <v>14</v>
      </c>
    </row>
    <row r="41" spans="1:24" s="2" customFormat="1" ht="38.25" x14ac:dyDescent="0.2">
      <c r="B41" s="6" t="s">
        <v>35</v>
      </c>
      <c r="E41" s="6" t="s">
        <v>48</v>
      </c>
      <c r="G41" s="7"/>
      <c r="H41" s="7"/>
      <c r="L41" s="6"/>
    </row>
    <row r="42" spans="1:24" s="2" customFormat="1" ht="25.5" x14ac:dyDescent="0.2">
      <c r="A42" s="2" t="str">
        <f>"["&amp;$AK$4&amp;"]"</f>
        <v>[DOOR]</v>
      </c>
      <c r="C42" s="2" t="str">
        <f>"[name]"</f>
        <v>[name]</v>
      </c>
      <c r="D42" s="2" t="str">
        <f>"["&amp;$AB$4&amp;"]"</f>
        <v>[CONSTRUCTION]</v>
      </c>
      <c r="E42" s="2" t="str">
        <f>"["&amp;$AE$4&amp;"]"</f>
        <v>[EXTERIOR-WALL]</v>
      </c>
      <c r="F42" s="2">
        <v>1</v>
      </c>
      <c r="G42" s="2" t="str">
        <f>"(["&amp;$AL$4&amp;"]*0.3048).toFixed(3)"</f>
        <v>([X]*0.3048).toFixed(3)</v>
      </c>
      <c r="H42" s="2" t="str">
        <f>"(["&amp;$AM$4&amp;"]*0.3048).toFixed(3)"</f>
        <v>([Y]*0.3048).toFixed(3)</v>
      </c>
      <c r="I42" s="2" t="str">
        <f>"["&amp;$AO$4&amp;"]*0.3048"</f>
        <v>[WIDTH]*0.3048</v>
      </c>
      <c r="J42" s="2" t="str">
        <f>"["&amp;$AN$4&amp;"]*0.3048"</f>
        <v>[HEIGHT]*0.3048</v>
      </c>
    </row>
    <row r="43" spans="1:24" s="4" customFormat="1" ht="12.75" x14ac:dyDescent="0.2">
      <c r="A43" s="3" t="s">
        <v>0</v>
      </c>
      <c r="B43" s="4" t="s">
        <v>47</v>
      </c>
      <c r="C43" s="4" t="s">
        <v>1</v>
      </c>
      <c r="D43" s="4" t="s">
        <v>4</v>
      </c>
      <c r="E43" s="4" t="s">
        <v>9</v>
      </c>
      <c r="F43" s="4" t="s">
        <v>2</v>
      </c>
      <c r="G43" s="4" t="s">
        <v>3</v>
      </c>
      <c r="H43" s="4" t="s">
        <v>12</v>
      </c>
      <c r="I43" s="4" t="s">
        <v>13</v>
      </c>
      <c r="J43" s="4" t="s">
        <v>14</v>
      </c>
    </row>
    <row r="44" spans="1:24" s="2" customFormat="1" ht="12.75" x14ac:dyDescent="0.2">
      <c r="B44" s="6" t="s">
        <v>35</v>
      </c>
    </row>
    <row r="45" spans="1:24" s="2" customFormat="1" ht="25.5" x14ac:dyDescent="0.2">
      <c r="A45" s="2" t="s">
        <v>106</v>
      </c>
      <c r="C45" s="2" t="str">
        <f>"[name]"</f>
        <v>[name]</v>
      </c>
      <c r="D45" s="2" t="str">
        <f>"["&amp;AQ$4&amp;"]"</f>
        <v>[AZIMUTH]</v>
      </c>
      <c r="E45" s="2" t="str">
        <f>"["&amp;AR$4&amp;"]"</f>
        <v>[TILT]</v>
      </c>
      <c r="F45" s="2" t="str">
        <f>"(["&amp;AS$4&amp;"]*0.3048).toFixed(3)"</f>
        <v>([X]*0.3048).toFixed(3)</v>
      </c>
      <c r="G45" s="2" t="str">
        <f>"(["&amp;AT$4&amp;"]*0.3048).toFixed(3)"</f>
        <v>([Y]*0.3048).toFixed(3)</v>
      </c>
      <c r="H45" s="2" t="str">
        <f>"(["&amp;AU$4&amp;"]*0.3048).toFixed(3)"</f>
        <v>([Z]*0.3048).toFixed(3)</v>
      </c>
      <c r="I45" s="2" t="str">
        <f>"["&amp;AW$4&amp;"]*0.3048"</f>
        <v>[WIDTH]*0.3048</v>
      </c>
      <c r="J45" s="2" t="str">
        <f>"["&amp;AV$4&amp;"]*0.3048"</f>
        <v>[HEIGHT]*0.3048</v>
      </c>
    </row>
    <row r="46" spans="1:24" s="17" customFormat="1" ht="13.5" thickBot="1" x14ac:dyDescent="0.25">
      <c r="A46" s="11" t="s">
        <v>0</v>
      </c>
      <c r="B46" s="17" t="s">
        <v>41</v>
      </c>
      <c r="C46" s="17" t="s">
        <v>1</v>
      </c>
      <c r="D46" s="17" t="s">
        <v>2</v>
      </c>
      <c r="E46" s="17" t="s">
        <v>3</v>
      </c>
      <c r="F46" s="17" t="s">
        <v>12</v>
      </c>
      <c r="G46" s="17" t="s">
        <v>13</v>
      </c>
      <c r="H46" s="17" t="s">
        <v>14</v>
      </c>
      <c r="I46" s="17" t="s">
        <v>15</v>
      </c>
      <c r="J46" s="17" t="s">
        <v>16</v>
      </c>
    </row>
    <row r="47" spans="1:24" s="5" customFormat="1" ht="12.75" x14ac:dyDescent="0.2"/>
    <row r="48" spans="1:24" s="15" customFormat="1" ht="63.75" x14ac:dyDescent="0.2">
      <c r="A48" s="8" t="str">
        <f>"["&amp;$J$4&amp;"]"</f>
        <v>[SPACE]</v>
      </c>
      <c r="C48" s="8" t="str">
        <f>"[name]+'_People'"</f>
        <v>[name]+'_People'</v>
      </c>
      <c r="D48" s="8" t="str">
        <f>"[name]"</f>
        <v>[name]</v>
      </c>
      <c r="E48" s="15" t="str">
        <f>"["&amp;$O$4&amp;"]"</f>
        <v>[PEOPLE-SCHEDULE]</v>
      </c>
      <c r="F48" s="15" t="str">
        <f>"["&amp;$T$4&amp;"]?'People':'Area/Person'"</f>
        <v>[NUMBER-OF-PEOPLE]?'People':'Area/Person'</v>
      </c>
      <c r="G48" s="2" t="str">
        <f>"["&amp;$T$4&amp;"]?["&amp;$T$4&amp;"]:''"</f>
        <v>[NUMBER-OF-PEOPLE]?[NUMBER-OF-PEOPLE]:''</v>
      </c>
      <c r="H48" s="15" t="str">
        <f>"''"</f>
        <v>''</v>
      </c>
      <c r="I48" s="2" t="str">
        <f>"["&amp;$U$4&amp;"]?["&amp;$U$4&amp;"]*10.764:''"</f>
        <v>[AREA/PERSON]?[AREA/PERSON]*10.764:''</v>
      </c>
      <c r="J48" s="15">
        <v>0.3</v>
      </c>
      <c r="K48" s="2" t="str">
        <f>"+["&amp;S4&amp;"]/(+["&amp;S4&amp;"]+(+["&amp;R4&amp;"]))"</f>
        <v>+[PEOPLE-HG-SENS]/(+[PEOPLE-HG-SENS]+(+[PEOPLE-HG-LAT]))</v>
      </c>
      <c r="L48" s="2" t="str">
        <f>"'Activity Level Schedule'"</f>
        <v>'Activity Level Schedule'</v>
      </c>
      <c r="P48" s="2"/>
      <c r="T48" s="2"/>
    </row>
    <row r="49" spans="1:22" s="3" customFormat="1" ht="12.75" x14ac:dyDescent="0.2">
      <c r="A49" s="3" t="s">
        <v>0</v>
      </c>
      <c r="B49" s="3" t="s">
        <v>67</v>
      </c>
      <c r="C49" s="3" t="s">
        <v>1</v>
      </c>
      <c r="D49" s="3" t="s">
        <v>4</v>
      </c>
      <c r="E49" s="3" t="s">
        <v>9</v>
      </c>
      <c r="F49" s="3" t="s">
        <v>10</v>
      </c>
      <c r="G49" s="3" t="s">
        <v>2</v>
      </c>
      <c r="H49" s="3" t="s">
        <v>3</v>
      </c>
      <c r="I49" s="3" t="s">
        <v>12</v>
      </c>
      <c r="J49" s="3" t="s">
        <v>13</v>
      </c>
      <c r="K49" s="3" t="s">
        <v>14</v>
      </c>
      <c r="L49" s="3" t="s">
        <v>26</v>
      </c>
    </row>
    <row r="51" spans="1:22" s="15" customFormat="1" ht="63.75" x14ac:dyDescent="0.2">
      <c r="A51" s="8" t="str">
        <f>"["&amp;$J$4&amp;"]"</f>
        <v>[SPACE]</v>
      </c>
      <c r="C51" s="8" t="str">
        <f>"[name]+'_Lights'"</f>
        <v>[name]+'_Lights'</v>
      </c>
      <c r="D51" s="8" t="str">
        <f>"[name]"</f>
        <v>[name]</v>
      </c>
      <c r="E51" s="15" t="str">
        <f>"["&amp;$P$4&amp;"]"</f>
        <v>[LIGHTING-SCHEDUL]</v>
      </c>
      <c r="F51" s="15" t="str">
        <f>"["&amp;$V$4&amp;"]?'LightingLevel':'Watts/Area'"</f>
        <v>[LIGHTING-KW]?'LightingLevel':'Watts/Area'</v>
      </c>
      <c r="G51" s="2" t="str">
        <f>"["&amp;$V$4&amp;"]?["&amp;$V$4&amp;"]*1000:''"</f>
        <v>[LIGHTING-KW]?[LIGHTING-KW]*1000:''</v>
      </c>
      <c r="H51" s="2" t="str">
        <f>"["&amp;$W$4&amp;"]?["&amp;$W$4&amp;"]/10.764:''"</f>
        <v>[LIGHTING-W/AREA]?[LIGHTING-W/AREA]/10.764:''</v>
      </c>
      <c r="I51" s="15" t="str">
        <f>"''"</f>
        <v>''</v>
      </c>
      <c r="J51" s="2">
        <v>0.2</v>
      </c>
      <c r="K51" s="15">
        <v>0.59</v>
      </c>
      <c r="L51" s="15">
        <v>0.2</v>
      </c>
      <c r="M51" s="15">
        <v>1</v>
      </c>
    </row>
    <row r="52" spans="1:22" s="3" customFormat="1" ht="12.75" x14ac:dyDescent="0.2">
      <c r="A52" s="3" t="s">
        <v>0</v>
      </c>
      <c r="B52" s="3" t="s">
        <v>68</v>
      </c>
      <c r="C52" s="3" t="s">
        <v>1</v>
      </c>
      <c r="D52" s="3" t="s">
        <v>4</v>
      </c>
      <c r="E52" s="3" t="s">
        <v>9</v>
      </c>
      <c r="F52" s="3" t="s">
        <v>10</v>
      </c>
      <c r="G52" s="3" t="s">
        <v>2</v>
      </c>
      <c r="H52" s="3" t="s">
        <v>3</v>
      </c>
      <c r="I52" s="3" t="s">
        <v>12</v>
      </c>
      <c r="J52" s="3" t="s">
        <v>13</v>
      </c>
      <c r="K52" s="3" t="s">
        <v>14</v>
      </c>
      <c r="L52" s="3" t="s">
        <v>15</v>
      </c>
      <c r="M52" s="3" t="s">
        <v>16</v>
      </c>
    </row>
    <row r="53" spans="1:22" s="5" customFormat="1" ht="12.75" x14ac:dyDescent="0.2"/>
    <row r="54" spans="1:22" s="15" customFormat="1" ht="63.75" x14ac:dyDescent="0.2">
      <c r="A54" s="8" t="str">
        <f>"["&amp;$J$4&amp;"]"</f>
        <v>[SPACE]</v>
      </c>
      <c r="C54" s="8" t="str">
        <f>"[name]+'_ElecEquip'"</f>
        <v>[name]+'_ElecEquip'</v>
      </c>
      <c r="D54" s="8" t="str">
        <f>"[name]"</f>
        <v>[name]</v>
      </c>
      <c r="E54" s="15" t="str">
        <f>"["&amp;$Q$4&amp;"]"</f>
        <v>[EQUIP-SCHEDULE]</v>
      </c>
      <c r="F54" s="15" t="str">
        <f>"["&amp;$X$4&amp;"]?'EquipmentLevel':'Watts/Area'"</f>
        <v>[EQUIPMENT-KW]?'EquipmentLevel':'Watts/Area'</v>
      </c>
      <c r="G54" s="2" t="str">
        <f>"["&amp;$X$4&amp;"]?["&amp;$X$4&amp;"]*1000:''"</f>
        <v>[EQUIPMENT-KW]?[EQUIPMENT-KW]*1000:''</v>
      </c>
      <c r="H54" s="2" t="str">
        <f>"["&amp;$Y$4&amp;"]?["&amp;$Y$4&amp;"]/10.764:''"</f>
        <v>[EQUIPMENT-W/AREA]?[EQUIPMENT-W/AREA]/10.764:''</v>
      </c>
      <c r="I54" s="15" t="str">
        <f>"''"</f>
        <v>''</v>
      </c>
      <c r="J54" s="15">
        <v>0</v>
      </c>
      <c r="K54" s="15">
        <v>0.5</v>
      </c>
      <c r="L54" s="2">
        <v>0</v>
      </c>
      <c r="P54" s="2"/>
      <c r="S54" s="2"/>
      <c r="T54" s="2"/>
      <c r="U54" s="2"/>
      <c r="V54" s="2"/>
    </row>
    <row r="55" spans="1:22" s="11" customFormat="1" ht="13.5" thickBot="1" x14ac:dyDescent="0.25">
      <c r="A55" s="11" t="s">
        <v>0</v>
      </c>
      <c r="B55" s="11" t="s">
        <v>69</v>
      </c>
      <c r="C55" s="11" t="s">
        <v>1</v>
      </c>
      <c r="D55" s="11" t="s">
        <v>4</v>
      </c>
      <c r="E55" s="11" t="s">
        <v>9</v>
      </c>
      <c r="F55" s="11" t="s">
        <v>10</v>
      </c>
      <c r="G55" s="11" t="s">
        <v>2</v>
      </c>
      <c r="H55" s="11" t="s">
        <v>3</v>
      </c>
      <c r="I55" s="11" t="s">
        <v>12</v>
      </c>
      <c r="J55" s="11" t="s">
        <v>13</v>
      </c>
      <c r="K55" s="11" t="s">
        <v>14</v>
      </c>
      <c r="L55" s="11" t="s">
        <v>15</v>
      </c>
    </row>
    <row r="56" spans="1:22" s="22" customFormat="1" ht="25.5" x14ac:dyDescent="0.2">
      <c r="B56" s="6" t="s">
        <v>35</v>
      </c>
      <c r="C56" s="7" t="s">
        <v>87</v>
      </c>
    </row>
    <row r="57" spans="1:22" s="13" customFormat="1" ht="41.25" customHeight="1" x14ac:dyDescent="0.2">
      <c r="A57" s="13" t="str">
        <f>"[SCHEDULE-PD]"</f>
        <v>[SCHEDULE-PD]</v>
      </c>
      <c r="B57" s="13" t="s">
        <v>89</v>
      </c>
      <c r="C57" s="8" t="str">
        <f>"'Sch.Year_'+[name]"</f>
        <v>'Sch.Year_'+[name]</v>
      </c>
      <c r="D57" s="13" t="str">
        <f>"'Temperature'"</f>
        <v>'Temperature'</v>
      </c>
      <c r="E57" s="15" t="str">
        <f>"["&amp;$BA$4&amp;"]"</f>
        <v>[WEEK-SCHEDULE-PD]</v>
      </c>
      <c r="F57" s="13">
        <v>1</v>
      </c>
      <c r="G57" s="13">
        <v>1</v>
      </c>
      <c r="H57" s="13">
        <v>12</v>
      </c>
      <c r="I57" s="13">
        <v>31</v>
      </c>
    </row>
    <row r="58" spans="1:22" s="3" customFormat="1" ht="12.75" x14ac:dyDescent="0.2">
      <c r="A58" s="3" t="s">
        <v>0</v>
      </c>
      <c r="B58" s="3" t="s">
        <v>85</v>
      </c>
      <c r="C58" s="3" t="s">
        <v>1</v>
      </c>
      <c r="D58" s="3" t="s">
        <v>4</v>
      </c>
      <c r="E58" s="3" t="s">
        <v>9</v>
      </c>
      <c r="F58" s="3" t="s">
        <v>2</v>
      </c>
      <c r="G58" s="3" t="s">
        <v>3</v>
      </c>
      <c r="H58" s="3" t="s">
        <v>12</v>
      </c>
      <c r="I58" s="3" t="s">
        <v>13</v>
      </c>
    </row>
    <row r="59" spans="1:22" s="21" customFormat="1" ht="25.5" x14ac:dyDescent="0.2">
      <c r="B59" s="6" t="s">
        <v>35</v>
      </c>
      <c r="C59" s="7" t="s">
        <v>86</v>
      </c>
    </row>
    <row r="60" spans="1:22" s="16" customFormat="1" ht="41.25" customHeight="1" x14ac:dyDescent="0.2">
      <c r="A60" s="13" t="str">
        <f>"[SCHEDULE-PD]"</f>
        <v>[SCHEDULE-PD]</v>
      </c>
      <c r="B60" s="13" t="s">
        <v>90</v>
      </c>
      <c r="C60" s="8" t="str">
        <f>"'Sch.Year_'+[name]"</f>
        <v>'Sch.Year_'+[name]</v>
      </c>
      <c r="D60" s="13" t="str">
        <f>"'Temperature'"</f>
        <v>'Temperature'</v>
      </c>
      <c r="E60" s="15" t="str">
        <f>"["&amp;$BA$4&amp;"]"</f>
        <v>[WEEK-SCHEDULE-PD]</v>
      </c>
      <c r="F60" s="13">
        <v>1</v>
      </c>
      <c r="G60" s="13">
        <v>1</v>
      </c>
      <c r="H60" s="13">
        <v>12</v>
      </c>
      <c r="I60" s="13">
        <v>31</v>
      </c>
    </row>
    <row r="61" spans="1:22" s="9" customFormat="1" ht="12.75" x14ac:dyDescent="0.2">
      <c r="A61" s="9" t="s">
        <v>0</v>
      </c>
      <c r="B61" s="3" t="s">
        <v>85</v>
      </c>
      <c r="C61" s="9" t="s">
        <v>1</v>
      </c>
      <c r="D61" s="9" t="s">
        <v>4</v>
      </c>
      <c r="E61" s="9" t="s">
        <v>9</v>
      </c>
      <c r="F61" s="3" t="s">
        <v>2</v>
      </c>
      <c r="G61" s="3" t="s">
        <v>3</v>
      </c>
      <c r="H61" s="3" t="s">
        <v>12</v>
      </c>
      <c r="I61" s="3" t="s">
        <v>13</v>
      </c>
    </row>
    <row r="62" spans="1:22" s="16" customFormat="1" ht="12.75" x14ac:dyDescent="0.2"/>
    <row r="63" spans="1:22" s="8" customFormat="1" ht="39" customHeight="1" x14ac:dyDescent="0.2">
      <c r="D63" s="8" t="str">
        <f>"'Sch.Year_'+[heat]"</f>
        <v>'Sch.Year_'+[heat]</v>
      </c>
      <c r="E63" s="8" t="str">
        <f>"'Sch.Year_'+[cool]"</f>
        <v>'Sch.Year_'+[cool]</v>
      </c>
    </row>
    <row r="64" spans="1:22" s="9" customFormat="1" ht="12.75" x14ac:dyDescent="0.2">
      <c r="A64" s="9" t="s">
        <v>0</v>
      </c>
      <c r="B64" s="9" t="s">
        <v>71</v>
      </c>
      <c r="C64" s="9" t="s">
        <v>1</v>
      </c>
      <c r="D64" s="9" t="s">
        <v>4</v>
      </c>
      <c r="E64" s="9" t="s">
        <v>9</v>
      </c>
    </row>
    <row r="65" spans="1:14" s="18" customFormat="1" ht="12.75" x14ac:dyDescent="0.2"/>
    <row r="66" spans="1:14" s="16" customFormat="1" ht="25.5" x14ac:dyDescent="0.2">
      <c r="B66" s="16" t="s">
        <v>72</v>
      </c>
      <c r="C66" s="8" t="str">
        <f>"'"&amp;B66&amp;"’"</f>
        <v>'ControlTypeSch_DualSetPt’</v>
      </c>
      <c r="D66" s="16" t="str">
        <f>"'Control Type'"</f>
        <v>'Control Type'</v>
      </c>
      <c r="E66" s="16">
        <v>4</v>
      </c>
    </row>
    <row r="67" spans="1:14" s="9" customFormat="1" ht="12.75" x14ac:dyDescent="0.2">
      <c r="A67" s="9" t="s">
        <v>0</v>
      </c>
      <c r="B67" s="9" t="s">
        <v>70</v>
      </c>
      <c r="C67" s="9" t="s">
        <v>1</v>
      </c>
      <c r="D67" s="9" t="s">
        <v>4</v>
      </c>
      <c r="E67" s="9" t="s">
        <v>2</v>
      </c>
    </row>
    <row r="68" spans="1:14" s="16" customFormat="1" ht="12.75" x14ac:dyDescent="0.2"/>
    <row r="69" spans="1:14" s="8" customFormat="1" ht="49.5" customHeight="1" x14ac:dyDescent="0.2">
      <c r="A69" s="8" t="s">
        <v>103</v>
      </c>
      <c r="B69" s="8" t="s">
        <v>73</v>
      </c>
      <c r="C69" s="8" t="str">
        <f>"[name]+'_Tstat'"</f>
        <v>[name]+'_Tstat'</v>
      </c>
      <c r="D69" s="8" t="str">
        <f>"[name]"</f>
        <v>[name]</v>
      </c>
      <c r="E69" s="8" t="str">
        <f>C66</f>
        <v>'ControlTypeSch_DualSetPt’</v>
      </c>
      <c r="F69" s="8" t="str">
        <f>"'"&amp;B64&amp;"'"</f>
        <v>'ThermostatSetpoint:DualSetpoint'</v>
      </c>
      <c r="G69" s="8">
        <f>C63</f>
        <v>0</v>
      </c>
    </row>
    <row r="70" spans="1:14" s="9" customFormat="1" ht="12.75" x14ac:dyDescent="0.2">
      <c r="A70" s="9" t="s">
        <v>0</v>
      </c>
      <c r="B70" s="9" t="s">
        <v>74</v>
      </c>
      <c r="C70" s="9" t="s">
        <v>1</v>
      </c>
      <c r="D70" s="9" t="s">
        <v>4</v>
      </c>
      <c r="E70" s="9" t="s">
        <v>9</v>
      </c>
      <c r="F70" s="9" t="s">
        <v>10</v>
      </c>
      <c r="G70" s="9" t="s">
        <v>26</v>
      </c>
    </row>
    <row r="71" spans="1:14" s="19" customFormat="1" ht="12.75" x14ac:dyDescent="0.2"/>
    <row r="72" spans="1:14" s="13" customFormat="1" ht="12.75" x14ac:dyDescent="0.2">
      <c r="B72" s="13" t="s">
        <v>75</v>
      </c>
      <c r="C72" s="2" t="str">
        <f>"'InfiltrationSch’"</f>
        <v>'InfiltrationSch’</v>
      </c>
      <c r="D72" s="20" t="str">
        <f>"'Any Number'"</f>
        <v>'Any Number'</v>
      </c>
      <c r="E72" s="2">
        <v>1</v>
      </c>
    </row>
    <row r="73" spans="1:14" s="3" customFormat="1" ht="12.75" x14ac:dyDescent="0.2">
      <c r="A73" s="3" t="s">
        <v>0</v>
      </c>
      <c r="B73" s="3" t="s">
        <v>70</v>
      </c>
      <c r="C73" s="3" t="s">
        <v>1</v>
      </c>
      <c r="D73" s="3" t="s">
        <v>4</v>
      </c>
      <c r="E73" s="3" t="s">
        <v>2</v>
      </c>
    </row>
    <row r="74" spans="1:14" s="5" customFormat="1" ht="12.75" x14ac:dyDescent="0.2"/>
    <row r="75" spans="1:14" s="15" customFormat="1" ht="29.25" customHeight="1" x14ac:dyDescent="0.2">
      <c r="A75" s="15" t="s">
        <v>103</v>
      </c>
      <c r="B75" s="15" t="str">
        <f>B76&amp;"_ACH"</f>
        <v>ZoneInfiltration:DesignFlowRate_ACH</v>
      </c>
      <c r="C75" s="2" t="str">
        <f>"[name]+'_ZoneInfil'"</f>
        <v>[name]+'_ZoneInfil'</v>
      </c>
      <c r="D75" s="8" t="str">
        <f>"[name]"</f>
        <v>[name]</v>
      </c>
      <c r="E75" s="2" t="str">
        <f>C72</f>
        <v>'InfiltrationSch’</v>
      </c>
      <c r="F75" s="2" t="str">
        <f>"'Flow/Area'"</f>
        <v>'Flow/Area'</v>
      </c>
      <c r="G75" s="15" t="str">
        <f>"''"</f>
        <v>''</v>
      </c>
      <c r="H75" s="15" t="str">
        <f>"["&amp;$AY$4&amp;"]"</f>
        <v>[MIN-FLOW/AREA]</v>
      </c>
      <c r="I75" s="20" t="str">
        <f>"''"</f>
        <v>''</v>
      </c>
      <c r="J75" s="20" t="str">
        <f>"''"</f>
        <v>''</v>
      </c>
      <c r="K75" s="2">
        <v>1</v>
      </c>
      <c r="L75" s="2">
        <v>0</v>
      </c>
      <c r="M75" s="2">
        <v>0</v>
      </c>
      <c r="N75" s="2">
        <v>0</v>
      </c>
    </row>
    <row r="76" spans="1:14" s="3" customFormat="1" ht="12.75" x14ac:dyDescent="0.2">
      <c r="A76" s="3" t="s">
        <v>0</v>
      </c>
      <c r="B76" s="3" t="s">
        <v>76</v>
      </c>
      <c r="C76" s="3" t="s">
        <v>1</v>
      </c>
      <c r="D76" s="3" t="s">
        <v>4</v>
      </c>
      <c r="E76" s="3" t="s">
        <v>9</v>
      </c>
      <c r="F76" s="3" t="s">
        <v>10</v>
      </c>
      <c r="G76" s="3" t="s">
        <v>2</v>
      </c>
      <c r="H76" s="3" t="s">
        <v>3</v>
      </c>
      <c r="I76" s="3" t="s">
        <v>12</v>
      </c>
      <c r="J76" s="3" t="s">
        <v>13</v>
      </c>
      <c r="K76" s="3" t="s">
        <v>14</v>
      </c>
      <c r="L76" s="3" t="s">
        <v>15</v>
      </c>
      <c r="M76" s="3" t="s">
        <v>16</v>
      </c>
      <c r="N76" s="3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mlee</dc:creator>
  <cp:lastModifiedBy>luk</cp:lastModifiedBy>
  <dcterms:created xsi:type="dcterms:W3CDTF">2013-02-15T15:12:05Z</dcterms:created>
  <dcterms:modified xsi:type="dcterms:W3CDTF">2013-05-13T17:51:20Z</dcterms:modified>
</cp:coreProperties>
</file>