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9600" windowHeight="4425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U84" i="2" l="1"/>
  <c r="O84" i="2"/>
  <c r="D120" i="2"/>
  <c r="E51" i="2"/>
  <c r="E48" i="2"/>
  <c r="E45" i="2"/>
  <c r="E42" i="2"/>
  <c r="E33" i="2"/>
  <c r="E30" i="2"/>
  <c r="E27" i="2"/>
  <c r="E24" i="2"/>
  <c r="S84" i="2" l="1"/>
  <c r="V84" i="2"/>
  <c r="W84" i="2"/>
  <c r="T84" i="2"/>
  <c r="X84" i="2"/>
  <c r="F141" i="2" l="1"/>
  <c r="D144" i="2"/>
  <c r="E141" i="2"/>
  <c r="E144" i="2"/>
  <c r="D153" i="2"/>
  <c r="C153" i="2"/>
  <c r="D150" i="2"/>
  <c r="C150" i="2"/>
  <c r="H147" i="2"/>
  <c r="G147" i="2"/>
  <c r="C144" i="2"/>
  <c r="D141" i="2"/>
  <c r="C141" i="2"/>
  <c r="F138" i="2"/>
  <c r="E138" i="2"/>
  <c r="C138" i="2"/>
  <c r="F135" i="2"/>
  <c r="E135" i="2"/>
  <c r="C135" i="2"/>
  <c r="C132" i="2"/>
  <c r="C129" i="2"/>
  <c r="D126" i="2"/>
  <c r="C126" i="2"/>
  <c r="C123" i="2"/>
  <c r="C117" i="2"/>
  <c r="D114" i="2"/>
  <c r="C114" i="2"/>
  <c r="C111" i="2"/>
  <c r="C105" i="2"/>
  <c r="C102" i="2"/>
  <c r="D99" i="2"/>
  <c r="C99" i="2"/>
  <c r="C96" i="2"/>
  <c r="C90" i="2"/>
  <c r="C87" i="2"/>
  <c r="Y84" i="2"/>
  <c r="C81" i="2"/>
  <c r="C78" i="2"/>
  <c r="C75" i="2"/>
  <c r="C72" i="2"/>
  <c r="C69" i="2"/>
  <c r="C66" i="2"/>
  <c r="C63" i="2"/>
  <c r="C60" i="2"/>
  <c r="C57" i="2"/>
  <c r="D51" i="2"/>
  <c r="C51" i="2"/>
  <c r="C48" i="2"/>
  <c r="D45" i="2"/>
  <c r="C45" i="2"/>
  <c r="C42" i="2"/>
  <c r="C39" i="2"/>
  <c r="C36" i="2"/>
  <c r="D33" i="2"/>
  <c r="C33" i="2"/>
  <c r="C30" i="2"/>
  <c r="D27" i="2"/>
  <c r="C27" i="2"/>
  <c r="C24" i="2"/>
  <c r="R84" i="2" l="1"/>
  <c r="Q84" i="2"/>
  <c r="E39" i="2" l="1"/>
  <c r="D39" i="2"/>
  <c r="J72" i="2" l="1"/>
  <c r="B72" i="2"/>
  <c r="B69" i="2"/>
  <c r="I72" i="2"/>
  <c r="H72" i="2"/>
  <c r="G72" i="2"/>
  <c r="F72" i="2"/>
  <c r="D72" i="2"/>
  <c r="B63" i="2"/>
  <c r="B66" i="2"/>
  <c r="I66" i="2"/>
  <c r="J66" i="2"/>
  <c r="H66" i="2"/>
  <c r="G66" i="2"/>
  <c r="F66" i="2"/>
  <c r="D66" i="2"/>
  <c r="B57" i="2"/>
  <c r="B60" i="2"/>
  <c r="J60" i="2"/>
  <c r="I60" i="2"/>
  <c r="H60" i="2"/>
  <c r="G60" i="2"/>
  <c r="F60" i="2"/>
  <c r="D60" i="2"/>
  <c r="D63" i="2"/>
  <c r="F63" i="2"/>
  <c r="G63" i="2"/>
  <c r="H63" i="2"/>
  <c r="I63" i="2"/>
  <c r="J63" i="2"/>
  <c r="U138" i="2" l="1"/>
  <c r="T138" i="2"/>
  <c r="S138" i="2"/>
  <c r="J138" i="2"/>
  <c r="I138" i="2"/>
  <c r="H138" i="2"/>
  <c r="G138" i="2"/>
  <c r="Y138" i="2"/>
  <c r="Z138" i="2"/>
  <c r="X138" i="2"/>
  <c r="W138" i="2"/>
  <c r="R138" i="2"/>
  <c r="Q138" i="2"/>
  <c r="P138" i="2"/>
  <c r="O138" i="2"/>
  <c r="N138" i="2"/>
  <c r="M138" i="2"/>
  <c r="L138" i="2"/>
  <c r="K138" i="2"/>
  <c r="B150" i="2"/>
  <c r="B153" i="2"/>
  <c r="F147" i="2"/>
  <c r="E147" i="2"/>
  <c r="C147" i="2"/>
  <c r="D147" i="2"/>
  <c r="D138" i="2"/>
  <c r="H69" i="2"/>
  <c r="G69" i="2"/>
  <c r="H57" i="2"/>
  <c r="G57" i="2"/>
  <c r="P84" i="2"/>
  <c r="N84" i="2"/>
  <c r="M84" i="2"/>
  <c r="I84" i="2"/>
  <c r="F84" i="2"/>
  <c r="F6" i="2"/>
  <c r="E6" i="2"/>
  <c r="D6" i="2"/>
  <c r="F9" i="2" l="1"/>
  <c r="F18" i="2"/>
  <c r="F12" i="2"/>
  <c r="F15" i="2"/>
  <c r="F21" i="2"/>
  <c r="C21" i="2"/>
  <c r="C18" i="2"/>
  <c r="C15" i="2"/>
  <c r="C12" i="2"/>
  <c r="C9" i="2"/>
  <c r="B21" i="2"/>
  <c r="B18" i="2"/>
  <c r="B15" i="2"/>
  <c r="B12" i="2"/>
  <c r="B9" i="2"/>
  <c r="C6" i="2"/>
  <c r="B6" i="2"/>
  <c r="F126" i="2" l="1"/>
  <c r="B126" i="2"/>
  <c r="G126" i="2"/>
  <c r="F114" i="2"/>
  <c r="B114" i="2"/>
  <c r="G114" i="2"/>
  <c r="G99" i="2"/>
  <c r="F99" i="2" l="1"/>
  <c r="B99" i="2"/>
  <c r="J69" i="2" l="1"/>
  <c r="J57" i="2"/>
  <c r="L45" i="2" l="1"/>
  <c r="L42" i="2" l="1"/>
  <c r="C54" i="2"/>
  <c r="E69" i="2" l="1"/>
  <c r="E72" i="2"/>
  <c r="E66" i="2"/>
  <c r="E60" i="2"/>
  <c r="E63" i="2"/>
  <c r="E57" i="2"/>
  <c r="F78" i="2"/>
  <c r="E78" i="2"/>
  <c r="L84" i="2" l="1"/>
  <c r="V138" i="2"/>
  <c r="E36" i="2"/>
  <c r="F51" i="2" l="1"/>
  <c r="F48" i="2"/>
  <c r="F45" i="2"/>
  <c r="F42" i="2"/>
  <c r="F33" i="2"/>
  <c r="F30" i="2"/>
  <c r="F27" i="2"/>
  <c r="F24" i="2"/>
  <c r="E132" i="2" l="1"/>
  <c r="D132" i="2"/>
  <c r="E129" i="2"/>
  <c r="E102" i="2"/>
  <c r="D129" i="2"/>
  <c r="F123" i="2"/>
  <c r="F111" i="2"/>
  <c r="F96" i="2"/>
  <c r="D123" i="2"/>
  <c r="C120" i="2"/>
  <c r="D96" i="2"/>
  <c r="D111" i="2"/>
  <c r="D108" i="2"/>
  <c r="C108" i="2"/>
  <c r="D93" i="2"/>
  <c r="C93" i="2"/>
  <c r="D105" i="2"/>
  <c r="D102" i="2"/>
  <c r="E87" i="2"/>
  <c r="D87" i="2"/>
  <c r="D90" i="2"/>
  <c r="B75" i="2"/>
  <c r="G78" i="2"/>
  <c r="G75" i="2"/>
  <c r="F75" i="2"/>
  <c r="E75" i="2"/>
  <c r="H78" i="2"/>
  <c r="D75" i="2"/>
  <c r="D78" i="2"/>
  <c r="B78" i="2"/>
  <c r="H75" i="2"/>
  <c r="D54" i="2"/>
  <c r="D36" i="2"/>
  <c r="I57" i="2"/>
  <c r="F57" i="2"/>
  <c r="D57" i="2"/>
  <c r="I69" i="2"/>
  <c r="E111" i="2" l="1"/>
  <c r="E114" i="2"/>
  <c r="E96" i="2"/>
  <c r="E99" i="2"/>
  <c r="E123" i="2"/>
  <c r="E126" i="2"/>
  <c r="D117" i="2"/>
  <c r="E117" i="2"/>
  <c r="F69" i="2"/>
  <c r="D69" i="2"/>
  <c r="D48" i="2" l="1"/>
  <c r="D42" i="2"/>
  <c r="I51" i="2"/>
  <c r="H51" i="2"/>
  <c r="G51" i="2"/>
  <c r="G48" i="2"/>
  <c r="H48" i="2"/>
  <c r="I48" i="2"/>
  <c r="K45" i="2"/>
  <c r="I45" i="2"/>
  <c r="H45" i="2"/>
  <c r="G45" i="2"/>
  <c r="K42" i="2"/>
  <c r="B51" i="2"/>
  <c r="B45" i="2"/>
  <c r="B33" i="2"/>
  <c r="B27" i="2"/>
  <c r="D30" i="2"/>
  <c r="I33" i="2"/>
  <c r="H33" i="2"/>
  <c r="G33" i="2"/>
  <c r="J27" i="2"/>
  <c r="I27" i="2"/>
  <c r="H27" i="2"/>
  <c r="G27" i="2"/>
  <c r="J24" i="2"/>
  <c r="G24" i="2"/>
  <c r="D24" i="2"/>
  <c r="G84" i="2" l="1"/>
  <c r="D84" i="2"/>
  <c r="E84" i="2" l="1"/>
  <c r="J84" i="2"/>
  <c r="K84" i="2"/>
  <c r="H84" i="2"/>
  <c r="E81" i="2" l="1"/>
  <c r="D81" i="2"/>
  <c r="I30" i="2"/>
  <c r="H30" i="2"/>
  <c r="G30" i="2"/>
  <c r="I42" i="2"/>
  <c r="H42" i="2"/>
  <c r="G42" i="2"/>
  <c r="G111" i="2"/>
  <c r="G123" i="2"/>
  <c r="G96" i="2"/>
  <c r="H24" i="2"/>
  <c r="I24" i="2"/>
  <c r="C84" i="2"/>
  <c r="D135" i="2" l="1"/>
</calcChain>
</file>

<file path=xl/sharedStrings.xml><?xml version="1.0" encoding="utf-8"?>
<sst xmlns="http://schemas.openxmlformats.org/spreadsheetml/2006/main" count="528" uniqueCount="140">
  <si>
    <t>HHA to Eplus Dictionary</t>
  </si>
  <si>
    <t>HHA Object:</t>
  </si>
  <si>
    <t>ZONES</t>
  </si>
  <si>
    <t>Eplus Class:</t>
  </si>
  <si>
    <t>A1</t>
  </si>
  <si>
    <t>N1</t>
  </si>
  <si>
    <t>N2</t>
  </si>
  <si>
    <t>N3</t>
  </si>
  <si>
    <t>N4</t>
  </si>
  <si>
    <t>N5</t>
  </si>
  <si>
    <t>N6</t>
  </si>
  <si>
    <t>N7</t>
  </si>
  <si>
    <t>ThermostatSetpoint:SingleHeating</t>
  </si>
  <si>
    <t>A2</t>
  </si>
  <si>
    <t>ThermostatSetpoint:SingleCooling</t>
  </si>
  <si>
    <t>ThermostatSetpoint:DualSetpoint</t>
  </si>
  <si>
    <t>A3</t>
  </si>
  <si>
    <t>Sizing:Zone</t>
  </si>
  <si>
    <t>DesignSpecification:OutdoorAir</t>
  </si>
  <si>
    <t>Lights</t>
  </si>
  <si>
    <t>A4</t>
  </si>
  <si>
    <t>People</t>
  </si>
  <si>
    <t>A5</t>
  </si>
  <si>
    <t>1-[Equip SHR]</t>
  </si>
  <si>
    <t>ElectricEquipment</t>
  </si>
  <si>
    <t>ZoneInfiltration:DesignFlowRate</t>
  </si>
  <si>
    <t>N8</t>
  </si>
  <si>
    <t>ZoneControl:Thermostat</t>
  </si>
  <si>
    <t>ZoneControl:Humidistat</t>
  </si>
  <si>
    <t>A7</t>
  </si>
  <si>
    <t>Light Pwr</t>
  </si>
  <si>
    <t>TaskLgt Pwr</t>
  </si>
  <si>
    <t>Occ Num</t>
  </si>
  <si>
    <t>Equip Pwr</t>
  </si>
  <si>
    <t>Zone Name</t>
  </si>
  <si>
    <t>Zone TemplGroup</t>
  </si>
  <si>
    <t>Zone TemplName</t>
  </si>
  <si>
    <t>Area/Ceilng</t>
  </si>
  <si>
    <t>Max Ceiling</t>
  </si>
  <si>
    <t>Max Ceiling Prev</t>
  </si>
  <si>
    <t>Dsn Space Clg Temp</t>
  </si>
  <si>
    <t>Dsn Space Clg Temp Prev</t>
  </si>
  <si>
    <t>Dsn Space Clg RH</t>
  </si>
  <si>
    <t>Dsn Space Clg RH Prev</t>
  </si>
  <si>
    <t>Dsn Space Htg Temp</t>
  </si>
  <si>
    <t>Dsn Space Htg Temp Prev</t>
  </si>
  <si>
    <t>Dsn Space Htg RH</t>
  </si>
  <si>
    <t>Dsn Space Htg RH Prev</t>
  </si>
  <si>
    <t>Min OA ACH</t>
  </si>
  <si>
    <t>Min OA ACH Prev</t>
  </si>
  <si>
    <t>Min OA Rp</t>
  </si>
  <si>
    <t>Min OA Rp Prev</t>
  </si>
  <si>
    <t>Min OA Ra</t>
  </si>
  <si>
    <t>Min OA Ra Prev</t>
  </si>
  <si>
    <t>OA EZ Vent Eff</t>
  </si>
  <si>
    <t>OA EZ Vent Eff Prev</t>
  </si>
  <si>
    <t>Min SA L/S/m2</t>
  </si>
  <si>
    <t>Min SA L/S/m2 Prev</t>
  </si>
  <si>
    <t>Min SA ACH</t>
  </si>
  <si>
    <t>Min SA ACH Prev</t>
  </si>
  <si>
    <t>Min Exh L/S</t>
  </si>
  <si>
    <t>Min Exh L/S Prev</t>
  </si>
  <si>
    <t>Min Exh ACH</t>
  </si>
  <si>
    <t>Min Exh ACH Prev</t>
  </si>
  <si>
    <t>Inf Clg Dsn ACH</t>
  </si>
  <si>
    <t>Inf Clg Dsn ACH Prev</t>
  </si>
  <si>
    <t>Inf Clg Dsn L/S/m2</t>
  </si>
  <si>
    <t>Inf Clg Dsn L/S/m2 Prev</t>
  </si>
  <si>
    <t>Inf Htg Dsn ACH</t>
  </si>
  <si>
    <t>Inf Htg Dsn ACH Prev</t>
  </si>
  <si>
    <t>Inf Htg Dsn L/S/m2</t>
  </si>
  <si>
    <t>Inf Htg Dsn L/S/m2 Prev</t>
  </si>
  <si>
    <t>Light Pwr Prev</t>
  </si>
  <si>
    <t>Light Unit</t>
  </si>
  <si>
    <t>Light Unit Prev</t>
  </si>
  <si>
    <t>Light %RA</t>
  </si>
  <si>
    <t>Light %RA Prev</t>
  </si>
  <si>
    <t>TaskLgt Pwr Prev</t>
  </si>
  <si>
    <t>TaskLgt Unit</t>
  </si>
  <si>
    <t>TaskLgt Unit Prev</t>
  </si>
  <si>
    <t>Occ Num Prev</t>
  </si>
  <si>
    <t>Occ Unit</t>
  </si>
  <si>
    <t>Occ Unit Prev</t>
  </si>
  <si>
    <t>Occ Met</t>
  </si>
  <si>
    <t>Occ Met Prev</t>
  </si>
  <si>
    <t>Occ SHR</t>
  </si>
  <si>
    <t>Occ SHR Prev</t>
  </si>
  <si>
    <t>Equip Pwr Prev</t>
  </si>
  <si>
    <t>Equip Unit</t>
  </si>
  <si>
    <t>Equip Unit Prev</t>
  </si>
  <si>
    <t>Equip SHR</t>
  </si>
  <si>
    <t>Equip SHR Prev</t>
  </si>
  <si>
    <t>Schedule:Constant</t>
  </si>
  <si>
    <t>SingleHtgSetPt_Sch</t>
  </si>
  <si>
    <t>SingleHtgSetPt</t>
  </si>
  <si>
    <t>SingleClgSetPt</t>
  </si>
  <si>
    <t>SingleClgSetPt_Sch</t>
  </si>
  <si>
    <t>MinRelHumSetSch</t>
  </si>
  <si>
    <t>MaxRelHumSetSch</t>
  </si>
  <si>
    <t>Tstat_SingleHtg</t>
  </si>
  <si>
    <t>Tstat_SingleClg</t>
  </si>
  <si>
    <t>Tstat_DualSetPt</t>
  </si>
  <si>
    <t>ZoneInfiltration Sch</t>
  </si>
  <si>
    <t>ActivityLvSch</t>
  </si>
  <si>
    <t>ControlTypeSch_SingleHtg</t>
  </si>
  <si>
    <t>ControlTypeSch_SingleClg</t>
  </si>
  <si>
    <t>ControlTypeSch_DualSetPt</t>
  </si>
  <si>
    <t>DesignSpecification:ZoneAirDistribution</t>
  </si>
  <si>
    <t>ScheduleTypeLimits</t>
  </si>
  <si>
    <t>N9</t>
  </si>
  <si>
    <t>N10</t>
  </si>
  <si>
    <t>N11</t>
  </si>
  <si>
    <t>N12</t>
  </si>
  <si>
    <t>A6</t>
  </si>
  <si>
    <t>N13</t>
  </si>
  <si>
    <t>N14</t>
  </si>
  <si>
    <t>N15</t>
  </si>
  <si>
    <t>N16</t>
  </si>
  <si>
    <t>A8</t>
  </si>
  <si>
    <t>A9</t>
  </si>
  <si>
    <t>A10</t>
  </si>
  <si>
    <t>A11</t>
  </si>
  <si>
    <t>A12</t>
  </si>
  <si>
    <t>A13</t>
  </si>
  <si>
    <t>A14</t>
  </si>
  <si>
    <t>A15</t>
  </si>
  <si>
    <t>ZoneHVAC:IdealLoadsAirSystem</t>
  </si>
  <si>
    <t>ZoneHVAC:AirDistributionUnit</t>
  </si>
  <si>
    <t>ZoneHVAC:EquipmentList</t>
  </si>
  <si>
    <t>ZoneHVAC:EquipmentConnections</t>
  </si>
  <si>
    <t>NodeList</t>
  </si>
  <si>
    <t>Templ_ActivityLvSch</t>
  </si>
  <si>
    <t>Clng SAT</t>
  </si>
  <si>
    <t>Clng SAT Prev</t>
  </si>
  <si>
    <t>Htng SAT</t>
  </si>
  <si>
    <t>Htng SAT Prev</t>
  </si>
  <si>
    <t>Clng HR</t>
  </si>
  <si>
    <t>Clng HR Prev</t>
  </si>
  <si>
    <t>Htng HR</t>
  </si>
  <si>
    <t>Htng HR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</si>
</sst>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0" xfId="0" quotePrefix="1" applyFont="1" applyBorder="1" applyAlignment="1">
      <alignment wrapText="1"/>
    </xf>
    <xf numFmtId="0" fontId="2" fillId="0" borderId="0" xfId="0" quotePrefix="1" applyFont="1" applyAlignment="1">
      <alignment wrapText="1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54"/>
  <sheetViews>
    <sheetView tabSelected="1" zoomScaleNormal="100" workbookViewId="0">
      <pane xSplit="2" ySplit="4" topLeftCell="K74" activePane="bottomRight" state="frozen"/>
      <selection pane="topRight" activeCell="C1" sqref="C1"/>
      <selection pane="bottomLeft" activeCell="A5" sqref="A5"/>
      <selection pane="bottomRight" activeCell="U84" sqref="U84"/>
    </sheetView>
  </sheetViews>
  <sheetFormatPr defaultRowHeight="15" x14ac:dyDescent="0.25"/>
  <cols>
    <col min="1" max="1" width="12.28515625" bestFit="1" customWidth="1"/>
    <col min="2" max="2" width="38.85546875" bestFit="1" customWidth="1"/>
    <col min="3" max="3" width="29.7109375" customWidth="1"/>
    <col min="4" max="4" width="19.7109375" customWidth="1"/>
    <col min="5" max="5" width="23.140625" customWidth="1"/>
    <col min="6" max="6" width="28.85546875" customWidth="1"/>
    <col min="7" max="7" width="22.42578125" customWidth="1"/>
    <col min="8" max="9" width="20" customWidth="1"/>
    <col min="10" max="12" width="17.7109375" customWidth="1"/>
    <col min="13" max="66" width="9.85546875" customWidth="1"/>
  </cols>
  <sheetData>
    <row r="2" spans="1:72" x14ac:dyDescent="0.25">
      <c r="A2" s="1" t="s">
        <v>0</v>
      </c>
    </row>
    <row r="4" spans="1:72" s="2" customFormat="1" ht="51.75" thickBot="1" x14ac:dyDescent="0.25">
      <c r="A4" s="2" t="s">
        <v>1</v>
      </c>
      <c r="B4" s="2" t="s">
        <v>2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46</v>
      </c>
      <c r="P4" s="2" t="s">
        <v>47</v>
      </c>
      <c r="Q4" s="2" t="s">
        <v>132</v>
      </c>
      <c r="R4" s="2" t="s">
        <v>133</v>
      </c>
      <c r="S4" s="2" t="s">
        <v>136</v>
      </c>
      <c r="T4" s="2" t="s">
        <v>137</v>
      </c>
      <c r="U4" s="2" t="s">
        <v>134</v>
      </c>
      <c r="V4" s="2" t="s">
        <v>135</v>
      </c>
      <c r="W4" s="2" t="s">
        <v>138</v>
      </c>
      <c r="X4" s="2" t="s">
        <v>139</v>
      </c>
      <c r="Y4" s="2" t="s">
        <v>48</v>
      </c>
      <c r="Z4" s="2" t="s">
        <v>49</v>
      </c>
      <c r="AA4" s="2" t="s">
        <v>50</v>
      </c>
      <c r="AB4" s="2" t="s">
        <v>51</v>
      </c>
      <c r="AC4" s="2" t="s">
        <v>52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57</v>
      </c>
      <c r="AI4" s="2" t="s">
        <v>58</v>
      </c>
      <c r="AJ4" s="2" t="s">
        <v>59</v>
      </c>
      <c r="AK4" s="2" t="s">
        <v>60</v>
      </c>
      <c r="AL4" s="2" t="s">
        <v>61</v>
      </c>
      <c r="AM4" s="2" t="s">
        <v>62</v>
      </c>
      <c r="AN4" s="2" t="s">
        <v>63</v>
      </c>
      <c r="AO4" s="2" t="s">
        <v>64</v>
      </c>
      <c r="AP4" s="2" t="s">
        <v>65</v>
      </c>
      <c r="AQ4" s="2" t="s">
        <v>66</v>
      </c>
      <c r="AR4" s="2" t="s">
        <v>67</v>
      </c>
      <c r="AS4" s="2" t="s">
        <v>68</v>
      </c>
      <c r="AT4" s="2" t="s">
        <v>69</v>
      </c>
      <c r="AU4" s="2" t="s">
        <v>70</v>
      </c>
      <c r="AV4" s="2" t="s">
        <v>71</v>
      </c>
      <c r="AW4" s="2" t="s">
        <v>30</v>
      </c>
      <c r="AX4" s="2" t="s">
        <v>72</v>
      </c>
      <c r="AY4" s="2" t="s">
        <v>73</v>
      </c>
      <c r="AZ4" s="2" t="s">
        <v>74</v>
      </c>
      <c r="BA4" s="2" t="s">
        <v>75</v>
      </c>
      <c r="BB4" s="2" t="s">
        <v>76</v>
      </c>
      <c r="BC4" s="2" t="s">
        <v>31</v>
      </c>
      <c r="BD4" s="2" t="s">
        <v>77</v>
      </c>
      <c r="BE4" s="2" t="s">
        <v>78</v>
      </c>
      <c r="BF4" s="2" t="s">
        <v>79</v>
      </c>
      <c r="BG4" s="2" t="s">
        <v>32</v>
      </c>
      <c r="BH4" s="2" t="s">
        <v>80</v>
      </c>
      <c r="BI4" s="2" t="s">
        <v>81</v>
      </c>
      <c r="BJ4" s="2" t="s">
        <v>82</v>
      </c>
      <c r="BK4" s="2" t="s">
        <v>83</v>
      </c>
      <c r="BL4" s="2" t="s">
        <v>84</v>
      </c>
      <c r="BM4" s="2" t="s">
        <v>85</v>
      </c>
      <c r="BN4" s="2" t="s">
        <v>86</v>
      </c>
      <c r="BO4" s="2" t="s">
        <v>33</v>
      </c>
      <c r="BP4" s="2" t="s">
        <v>87</v>
      </c>
      <c r="BQ4" s="2" t="s">
        <v>88</v>
      </c>
      <c r="BR4" s="2" t="s">
        <v>89</v>
      </c>
      <c r="BS4" s="2" t="s">
        <v>90</v>
      </c>
      <c r="BT4" s="2" t="s">
        <v>91</v>
      </c>
    </row>
    <row r="5" spans="1:72" s="12" customFormat="1" ht="12.75" x14ac:dyDescent="0.2"/>
    <row r="6" spans="1:72" s="3" customFormat="1" ht="12.75" x14ac:dyDescent="0.2">
      <c r="B6" s="3" t="str">
        <f>B7&amp;"_Any Number"</f>
        <v>ScheduleTypeLimits_Any Number</v>
      </c>
      <c r="C6" s="3" t="str">
        <f>"'Any Number'"</f>
        <v>'Any Number'</v>
      </c>
      <c r="D6" s="3" t="str">
        <f>"''"</f>
        <v>''</v>
      </c>
      <c r="E6" s="3" t="str">
        <f>"''"</f>
        <v>''</v>
      </c>
      <c r="F6" s="3" t="str">
        <f>"''"</f>
        <v>''</v>
      </c>
    </row>
    <row r="7" spans="1:72" s="13" customFormat="1" ht="12.75" x14ac:dyDescent="0.2">
      <c r="A7" s="4" t="s">
        <v>3</v>
      </c>
      <c r="B7" s="13" t="s">
        <v>108</v>
      </c>
      <c r="C7" s="13" t="s">
        <v>4</v>
      </c>
      <c r="D7" s="13" t="s">
        <v>5</v>
      </c>
      <c r="E7" s="13" t="s">
        <v>6</v>
      </c>
      <c r="F7" s="13" t="s">
        <v>13</v>
      </c>
    </row>
    <row r="8" spans="1:72" s="3" customFormat="1" ht="12.75" x14ac:dyDescent="0.2"/>
    <row r="9" spans="1:72" s="3" customFormat="1" ht="12.75" x14ac:dyDescent="0.2">
      <c r="B9" s="3" t="str">
        <f>B10&amp;"_Fraction"</f>
        <v>ScheduleTypeLimits_Fraction</v>
      </c>
      <c r="C9" s="3" t="str">
        <f>"'Fraction'"</f>
        <v>'Fraction'</v>
      </c>
      <c r="D9" s="3">
        <v>0</v>
      </c>
      <c r="E9" s="3">
        <v>1</v>
      </c>
      <c r="F9" s="3" t="str">
        <f>"'CONTINUOUS'"</f>
        <v>'CONTINUOUS'</v>
      </c>
    </row>
    <row r="10" spans="1:72" s="13" customFormat="1" ht="12.75" x14ac:dyDescent="0.2">
      <c r="A10" s="4" t="s">
        <v>3</v>
      </c>
      <c r="B10" s="13" t="s">
        <v>108</v>
      </c>
      <c r="C10" s="13" t="s">
        <v>4</v>
      </c>
      <c r="D10" s="13" t="s">
        <v>5</v>
      </c>
      <c r="E10" s="13" t="s">
        <v>6</v>
      </c>
      <c r="F10" s="13" t="s">
        <v>13</v>
      </c>
    </row>
    <row r="11" spans="1:72" s="3" customFormat="1" ht="12.75" x14ac:dyDescent="0.2"/>
    <row r="12" spans="1:72" s="3" customFormat="1" ht="12.75" x14ac:dyDescent="0.2">
      <c r="B12" s="3" t="str">
        <f>B13&amp;"_On/Off"</f>
        <v>ScheduleTypeLimits_On/Off</v>
      </c>
      <c r="C12" s="3" t="str">
        <f>"'On/Off'"</f>
        <v>'On/Off'</v>
      </c>
      <c r="D12" s="3">
        <v>0</v>
      </c>
      <c r="E12" s="3">
        <v>1</v>
      </c>
      <c r="F12" s="3" t="str">
        <f>"'DISCRETE'"</f>
        <v>'DISCRETE'</v>
      </c>
    </row>
    <row r="13" spans="1:72" s="13" customFormat="1" ht="12.75" x14ac:dyDescent="0.2">
      <c r="A13" s="4" t="s">
        <v>3</v>
      </c>
      <c r="B13" s="13" t="s">
        <v>108</v>
      </c>
      <c r="C13" s="13" t="s">
        <v>4</v>
      </c>
      <c r="D13" s="13" t="s">
        <v>5</v>
      </c>
      <c r="E13" s="13" t="s">
        <v>6</v>
      </c>
      <c r="F13" s="13" t="s">
        <v>13</v>
      </c>
    </row>
    <row r="14" spans="1:72" s="3" customFormat="1" ht="12.75" x14ac:dyDescent="0.2"/>
    <row r="15" spans="1:72" s="3" customFormat="1" ht="12.75" x14ac:dyDescent="0.2">
      <c r="B15" s="3" t="str">
        <f>B16&amp;"_Control Type"</f>
        <v>ScheduleTypeLimits_Control Type</v>
      </c>
      <c r="C15" s="3" t="str">
        <f>"'Control Type'"</f>
        <v>'Control Type'</v>
      </c>
      <c r="D15" s="3">
        <v>0</v>
      </c>
      <c r="E15" s="3">
        <v>4</v>
      </c>
      <c r="F15" s="3" t="str">
        <f>"'DISCRETE'"</f>
        <v>'DISCRETE'</v>
      </c>
    </row>
    <row r="16" spans="1:72" s="13" customFormat="1" ht="12.75" x14ac:dyDescent="0.2">
      <c r="A16" s="4" t="s">
        <v>3</v>
      </c>
      <c r="B16" s="13" t="s">
        <v>108</v>
      </c>
      <c r="C16" s="13" t="s">
        <v>4</v>
      </c>
      <c r="D16" s="13" t="s">
        <v>5</v>
      </c>
      <c r="E16" s="13" t="s">
        <v>6</v>
      </c>
      <c r="F16" s="13" t="s">
        <v>13</v>
      </c>
    </row>
    <row r="17" spans="1:13" s="3" customFormat="1" ht="12.75" x14ac:dyDescent="0.2"/>
    <row r="18" spans="1:13" s="3" customFormat="1" ht="12.75" x14ac:dyDescent="0.2">
      <c r="B18" s="3" t="str">
        <f>B19&amp;"_Temperature"</f>
        <v>ScheduleTypeLimits_Temperature</v>
      </c>
      <c r="C18" s="3" t="str">
        <f>"'Temperature'"</f>
        <v>'Temperature'</v>
      </c>
      <c r="D18" s="3">
        <v>-60</v>
      </c>
      <c r="E18" s="3">
        <v>200</v>
      </c>
      <c r="F18" s="3" t="str">
        <f>"'CONTINUOUS'"</f>
        <v>'CONTINUOUS'</v>
      </c>
    </row>
    <row r="19" spans="1:13" s="13" customFormat="1" ht="12.75" x14ac:dyDescent="0.2">
      <c r="A19" s="4" t="s">
        <v>3</v>
      </c>
      <c r="B19" s="13" t="s">
        <v>108</v>
      </c>
      <c r="C19" s="13" t="s">
        <v>4</v>
      </c>
      <c r="D19" s="13" t="s">
        <v>5</v>
      </c>
      <c r="E19" s="13" t="s">
        <v>6</v>
      </c>
      <c r="F19" s="13" t="s">
        <v>13</v>
      </c>
    </row>
    <row r="20" spans="1:13" s="3" customFormat="1" ht="12.75" x14ac:dyDescent="0.2"/>
    <row r="21" spans="1:13" s="3" customFormat="1" ht="12.75" x14ac:dyDescent="0.2">
      <c r="B21" s="3" t="str">
        <f>B22&amp;"_Humidity"</f>
        <v>ScheduleTypeLimits_Humidity</v>
      </c>
      <c r="C21" s="3" t="str">
        <f>"'Humidity'"</f>
        <v>'Humidity'</v>
      </c>
      <c r="D21" s="3">
        <v>10</v>
      </c>
      <c r="E21" s="3">
        <v>90</v>
      </c>
      <c r="F21" s="3" t="str">
        <f>"'CONTINUOUS'"</f>
        <v>'CONTINUOUS'</v>
      </c>
    </row>
    <row r="22" spans="1:13" s="13" customFormat="1" ht="12.75" x14ac:dyDescent="0.2">
      <c r="A22" s="4" t="s">
        <v>3</v>
      </c>
      <c r="B22" s="13" t="s">
        <v>108</v>
      </c>
      <c r="C22" s="13" t="s">
        <v>4</v>
      </c>
      <c r="D22" s="13" t="s">
        <v>5</v>
      </c>
      <c r="E22" s="13" t="s">
        <v>6</v>
      </c>
      <c r="F22" s="13" t="s">
        <v>13</v>
      </c>
    </row>
    <row r="24" spans="1:13" s="6" customFormat="1" ht="51" x14ac:dyDescent="0.2">
      <c r="B24" s="6" t="s">
        <v>30</v>
      </c>
      <c r="C24" s="3" t="str">
        <f>"["&amp;$C$4&amp;"]+'-Lights'"</f>
        <v>[Zone Name]+'-Lights'</v>
      </c>
      <c r="D24" s="6" t="str">
        <f>"["&amp;C4&amp;"]"</f>
        <v>[Zone Name]</v>
      </c>
      <c r="E24" s="6" t="str">
        <f>"'Design Internal Loads Schedule'"</f>
        <v>'Design Internal Loads Schedule'</v>
      </c>
      <c r="F24" s="6" t="str">
        <f>"["&amp;$AY$4&amp;"]=='W'?'LightingLevel':
(["&amp;$AY$4&amp;"]=='W/m2'?'Watts/Area':
(["&amp;$AY$4&amp;"]=='W/occ'?'Watts/Person':''))"</f>
        <v>[Light Unit]=='W'?'LightingLevel':
([Light Unit]=='W/m2'?'Watts/Area':
([Light Unit]=='W/occ'?'Watts/Person':''))</v>
      </c>
      <c r="G24" s="3" t="str">
        <f>"["&amp;$AY$4&amp;"]=='W'?["&amp;$AW$4&amp;"]:''"</f>
        <v>[Light Unit]=='W'?[Light Pwr]:''</v>
      </c>
      <c r="H24" s="3" t="str">
        <f>"["&amp;$AY$4&amp;"]=='W/m2'?["&amp;$AW$4&amp;"]:''"</f>
        <v>[Light Unit]=='W/m2'?[Light Pwr]:''</v>
      </c>
      <c r="I24" s="3" t="str">
        <f>"["&amp;$AY$4&amp;"]=='W/occ'?["&amp;$AW$4&amp;"]:''"</f>
        <v>[Light Unit]=='W/occ'?[Light Pwr]:''</v>
      </c>
      <c r="J24" s="3" t="str">
        <f>"["&amp;$BA$4&amp;"]"</f>
        <v>[Light %RA]</v>
      </c>
      <c r="K24" s="6">
        <v>0.7</v>
      </c>
      <c r="L24" s="6">
        <v>0.2</v>
      </c>
      <c r="M24" s="6">
        <v>1</v>
      </c>
    </row>
    <row r="25" spans="1:13" s="4" customFormat="1" ht="12.75" x14ac:dyDescent="0.2">
      <c r="A25" s="4" t="s">
        <v>3</v>
      </c>
      <c r="B25" s="4" t="s">
        <v>19</v>
      </c>
      <c r="C25" s="4" t="s">
        <v>4</v>
      </c>
      <c r="D25" s="4" t="s">
        <v>13</v>
      </c>
      <c r="E25" s="4" t="s">
        <v>16</v>
      </c>
      <c r="F25" s="4" t="s">
        <v>20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M25" s="4" t="s">
        <v>11</v>
      </c>
    </row>
    <row r="26" spans="1:13" s="10" customFormat="1" x14ac:dyDescent="0.25"/>
    <row r="27" spans="1:13" s="3" customFormat="1" ht="51" x14ac:dyDescent="0.2">
      <c r="B27" s="3" t="str">
        <f>"Templ "&amp;B24</f>
        <v>Templ Light Pwr</v>
      </c>
      <c r="C27" s="3" t="str">
        <f>"["&amp;$D$4&amp;"]+' : '+["&amp;$E$4&amp;"]+'-Lights'"</f>
        <v>[Zone TemplGroup]+' : '+[Zone TemplName]+'-Lights'</v>
      </c>
      <c r="D27" s="3" t="str">
        <f>"'ZoneList3-Light-'+["&amp;$D$4&amp;"]+' : '+["&amp;$E$4&amp;"]"</f>
        <v>'ZoneList3-Light-'+[Zone TemplGroup]+' : '+[Zone TemplName]</v>
      </c>
      <c r="E27" s="6" t="str">
        <f>E24</f>
        <v>'Design Internal Loads Schedule'</v>
      </c>
      <c r="F27" s="6" t="str">
        <f>"["&amp;$AY$4&amp;"]=='W'?'LightingLevel':
(["&amp;$AY$4&amp;"]=='W/m2'?'Watts/Area':
(["&amp;$AY$4&amp;"]=='W/occ'?'Watts/Person':''))"</f>
        <v>[Light Unit]=='W'?'LightingLevel':
([Light Unit]=='W/m2'?'Watts/Area':
([Light Unit]=='W/occ'?'Watts/Person':''))</v>
      </c>
      <c r="G27" s="3" t="str">
        <f>"["&amp;$AY$4&amp;"]=='W'?["&amp;$AW$4&amp;"]:''"</f>
        <v>[Light Unit]=='W'?[Light Pwr]:''</v>
      </c>
      <c r="H27" s="3" t="str">
        <f>"["&amp;$AY$4&amp;"]=='W/m2'?["&amp;$AW$4&amp;"]:''"</f>
        <v>[Light Unit]=='W/m2'?[Light Pwr]:''</v>
      </c>
      <c r="I27" s="3" t="str">
        <f>"["&amp;$AY$4&amp;"]=='W/occ'?["&amp;$AW$4&amp;"]:''"</f>
        <v>[Light Unit]=='W/occ'?[Light Pwr]:''</v>
      </c>
      <c r="J27" s="3" t="str">
        <f>"["&amp;$BA$4&amp;"]"</f>
        <v>[Light %RA]</v>
      </c>
      <c r="K27" s="6">
        <v>0.7</v>
      </c>
      <c r="L27" s="6">
        <v>0.2</v>
      </c>
      <c r="M27" s="6">
        <v>1</v>
      </c>
    </row>
    <row r="28" spans="1:13" s="4" customFormat="1" ht="12.75" x14ac:dyDescent="0.2">
      <c r="A28" s="4" t="s">
        <v>3</v>
      </c>
      <c r="B28" s="4" t="s">
        <v>19</v>
      </c>
      <c r="C28" s="4" t="s">
        <v>4</v>
      </c>
      <c r="D28" s="4" t="s">
        <v>13</v>
      </c>
      <c r="E28" s="4" t="s">
        <v>16</v>
      </c>
      <c r="F28" s="4" t="s">
        <v>20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</row>
    <row r="29" spans="1:13" s="7" customFormat="1" ht="12.75" x14ac:dyDescent="0.2"/>
    <row r="30" spans="1:13" s="7" customFormat="1" ht="63.75" x14ac:dyDescent="0.2">
      <c r="B30" s="7" t="s">
        <v>31</v>
      </c>
      <c r="C30" s="3" t="str">
        <f>"["&amp;$C$4&amp;"]+'-TaskLgt'"</f>
        <v>[Zone Name]+'-TaskLgt'</v>
      </c>
      <c r="D30" s="3" t="str">
        <f>"["&amp;C4&amp;"]"</f>
        <v>[Zone Name]</v>
      </c>
      <c r="E30" s="6" t="str">
        <f>E24</f>
        <v>'Design Internal Loads Schedule'</v>
      </c>
      <c r="F30" s="6" t="str">
        <f>"["&amp;$BE$4&amp;"]=='W'?'LightingLevel':
(["&amp;$BE$4&amp;"]=='W/m2'?'Watts/Area':
(["&amp;$BE$4&amp;"]=='W/occ'?'Watts/Person':''))"</f>
        <v>[TaskLgt Unit]=='W'?'LightingLevel':
([TaskLgt Unit]=='W/m2'?'Watts/Area':
([TaskLgt Unit]=='W/occ'?'Watts/Person':''))</v>
      </c>
      <c r="G30" s="3" t="str">
        <f>"["&amp;$BE$4&amp;"]=='W'?["&amp;$BC$4&amp;"]:''"</f>
        <v>[TaskLgt Unit]=='W'?[TaskLgt Pwr]:''</v>
      </c>
      <c r="H30" s="3" t="str">
        <f>"["&amp;$BE$4&amp;"]=='W/m2'?["&amp;$BC$4&amp;"]:''"</f>
        <v>[TaskLgt Unit]=='W/m2'?[TaskLgt Pwr]:''</v>
      </c>
      <c r="I30" s="3" t="str">
        <f>"["&amp;$BE$4&amp;"]=='W/occ'?["&amp;$BC$4&amp;"]:''"</f>
        <v>[TaskLgt Unit]=='W/occ'?[TaskLgt Pwr]:''</v>
      </c>
      <c r="J30" s="6">
        <v>0</v>
      </c>
      <c r="K30" s="6">
        <v>0.7</v>
      </c>
      <c r="L30" s="6">
        <v>0.2</v>
      </c>
      <c r="M30" s="6">
        <v>1</v>
      </c>
    </row>
    <row r="31" spans="1:13" s="4" customFormat="1" ht="12.75" x14ac:dyDescent="0.2">
      <c r="A31" s="4" t="s">
        <v>3</v>
      </c>
      <c r="B31" s="4" t="s">
        <v>19</v>
      </c>
      <c r="C31" s="4" t="s">
        <v>4</v>
      </c>
      <c r="D31" s="4" t="s">
        <v>13</v>
      </c>
      <c r="E31" s="4" t="s">
        <v>16</v>
      </c>
      <c r="F31" s="4" t="s">
        <v>20</v>
      </c>
      <c r="G31" s="4" t="s">
        <v>5</v>
      </c>
      <c r="H31" s="4" t="s">
        <v>6</v>
      </c>
      <c r="I31" s="4" t="s">
        <v>7</v>
      </c>
      <c r="J31" s="4" t="s">
        <v>8</v>
      </c>
      <c r="K31" s="4" t="s">
        <v>9</v>
      </c>
      <c r="L31" s="4" t="s">
        <v>10</v>
      </c>
      <c r="M31" s="4" t="s">
        <v>11</v>
      </c>
    </row>
    <row r="32" spans="1:13" s="11" customFormat="1" ht="12.75" x14ac:dyDescent="0.2"/>
    <row r="33" spans="1:22" s="7" customFormat="1" ht="63.75" x14ac:dyDescent="0.2">
      <c r="B33" s="3" t="str">
        <f>"Templ "&amp;B30</f>
        <v>Templ TaskLgt Pwr</v>
      </c>
      <c r="C33" s="3" t="str">
        <f>"["&amp;$D$4&amp;"]+' : '+["&amp;$E$4&amp;"]+'-TaskLgt'"</f>
        <v>[Zone TemplGroup]+' : '+[Zone TemplName]+'-TaskLgt'</v>
      </c>
      <c r="D33" s="3" t="str">
        <f>"'ZoneList4-TaskLgt-'+["&amp;$D$4&amp;"]+' : '+["&amp;$E$4&amp;"]"</f>
        <v>'ZoneList4-TaskLgt-'+[Zone TemplGroup]+' : '+[Zone TemplName]</v>
      </c>
      <c r="E33" s="6" t="str">
        <f>E24</f>
        <v>'Design Internal Loads Schedule'</v>
      </c>
      <c r="F33" s="6" t="str">
        <f>"["&amp;$BE$4&amp;"]=='W'?'LightingLevel':
(["&amp;$BE$4&amp;"]=='W/m2'?'Watts/Area':
(["&amp;$BE$4&amp;"]=='W/occ'?'Watts/Person':''))"</f>
        <v>[TaskLgt Unit]=='W'?'LightingLevel':
([TaskLgt Unit]=='W/m2'?'Watts/Area':
([TaskLgt Unit]=='W/occ'?'Watts/Person':''))</v>
      </c>
      <c r="G33" s="3" t="str">
        <f>"["&amp;$BE$4&amp;"]=='W'?["&amp;$BC$4&amp;"]:''"</f>
        <v>[TaskLgt Unit]=='W'?[TaskLgt Pwr]:''</v>
      </c>
      <c r="H33" s="3" t="str">
        <f>"["&amp;$BE$4&amp;"]=='W/m2'?["&amp;$BC$4&amp;"]:''"</f>
        <v>[TaskLgt Unit]=='W/m2'?[TaskLgt Pwr]:''</v>
      </c>
      <c r="I33" s="3" t="str">
        <f>"["&amp;$BE$4&amp;"]=='W/occ'?["&amp;$BC$4&amp;"]:''"</f>
        <v>[TaskLgt Unit]=='W/occ'?[TaskLgt Pwr]:''</v>
      </c>
      <c r="J33" s="6">
        <v>0</v>
      </c>
      <c r="K33" s="6">
        <v>0.7</v>
      </c>
      <c r="L33" s="6">
        <v>0.2</v>
      </c>
      <c r="M33" s="6">
        <v>1</v>
      </c>
    </row>
    <row r="34" spans="1:22" s="4" customFormat="1" ht="12.75" x14ac:dyDescent="0.2">
      <c r="A34" s="4" t="s">
        <v>3</v>
      </c>
      <c r="B34" s="4" t="s">
        <v>19</v>
      </c>
      <c r="C34" s="4" t="s">
        <v>4</v>
      </c>
      <c r="D34" s="4" t="s">
        <v>13</v>
      </c>
      <c r="E34" s="4" t="s">
        <v>16</v>
      </c>
      <c r="F34" s="4" t="s">
        <v>20</v>
      </c>
      <c r="G34" s="4" t="s">
        <v>5</v>
      </c>
      <c r="H34" s="4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4" t="s">
        <v>11</v>
      </c>
    </row>
    <row r="35" spans="1:22" s="11" customFormat="1" ht="12.75" x14ac:dyDescent="0.2"/>
    <row r="36" spans="1:22" s="7" customFormat="1" ht="12.75" x14ac:dyDescent="0.2">
      <c r="A36" s="3"/>
      <c r="B36" s="3" t="s">
        <v>103</v>
      </c>
      <c r="C36" s="3" t="str">
        <f>"'ActivityLvSch-Met:’+["&amp;BK4&amp;"]"</f>
        <v>'ActivityLvSch-Met:’+[Occ Met]</v>
      </c>
      <c r="D36" s="8" t="str">
        <f>"'Any Number'"</f>
        <v>'Any Number'</v>
      </c>
      <c r="E36" s="3" t="str">
        <f>"["&amp;$BK$4&amp;"]"</f>
        <v>[Occ Met]</v>
      </c>
    </row>
    <row r="37" spans="1:22" s="4" customFormat="1" ht="12.75" x14ac:dyDescent="0.2">
      <c r="A37" s="4" t="s">
        <v>3</v>
      </c>
      <c r="B37" s="4" t="s">
        <v>92</v>
      </c>
      <c r="C37" s="4" t="s">
        <v>4</v>
      </c>
      <c r="D37" s="4" t="s">
        <v>13</v>
      </c>
      <c r="E37" s="4" t="s">
        <v>5</v>
      </c>
    </row>
    <row r="38" spans="1:22" s="7" customFormat="1" ht="12.75" x14ac:dyDescent="0.2"/>
    <row r="39" spans="1:22" s="7" customFormat="1" ht="38.25" x14ac:dyDescent="0.2">
      <c r="A39" s="3"/>
      <c r="B39" s="3" t="s">
        <v>131</v>
      </c>
      <c r="C39" s="3" t="str">
        <f>"'ActivityLvSch-Met:’+["&amp;$D$4&amp;"]+' : '+["&amp;$E$4&amp;"]"</f>
        <v>'ActivityLvSch-Met:’+[Zone TemplGroup]+' : '+[Zone TemplName]</v>
      </c>
      <c r="D39" s="8" t="str">
        <f>"'Any Number'"</f>
        <v>'Any Number'</v>
      </c>
      <c r="E39" s="3" t="str">
        <f>"["&amp;$BK$4&amp;"]"</f>
        <v>[Occ Met]</v>
      </c>
    </row>
    <row r="40" spans="1:22" s="4" customFormat="1" ht="12.75" x14ac:dyDescent="0.2">
      <c r="A40" s="4" t="s">
        <v>3</v>
      </c>
      <c r="B40" s="4" t="s">
        <v>92</v>
      </c>
      <c r="C40" s="4" t="s">
        <v>4</v>
      </c>
      <c r="D40" s="4" t="s">
        <v>13</v>
      </c>
      <c r="E40" s="4" t="s">
        <v>5</v>
      </c>
    </row>
    <row r="41" spans="1:22" s="5" customFormat="1" ht="12.75" x14ac:dyDescent="0.2"/>
    <row r="42" spans="1:22" s="6" customFormat="1" ht="63.75" x14ac:dyDescent="0.2">
      <c r="B42" s="6" t="s">
        <v>32</v>
      </c>
      <c r="C42" s="3" t="str">
        <f>"["&amp;$C$4&amp;"]+'-People'"</f>
        <v>[Zone Name]+'-People'</v>
      </c>
      <c r="D42" s="6" t="str">
        <f>"["&amp;C4&amp;"]"</f>
        <v>[Zone Name]</v>
      </c>
      <c r="E42" s="6" t="str">
        <f>E24</f>
        <v>'Design Internal Loads Schedule'</v>
      </c>
      <c r="F42" s="6" t="str">
        <f>"["&amp;$BI$4&amp;"]=='occ'?'People':
(["&amp;$BI$4&amp;"]=='occ/m2'?'People/Area':
(["&amp;$BI$4&amp;"]=='m2/occ'?'Area/People':''))"</f>
        <v>[Occ Unit]=='occ'?'People':
([Occ Unit]=='occ/m2'?'People/Area':
([Occ Unit]=='m2/occ'?'Area/People':''))</v>
      </c>
      <c r="G42" s="3" t="str">
        <f>"["&amp;$BI$4&amp;"]=='occ'?["&amp;$BG$4&amp;"]:''"</f>
        <v>[Occ Unit]=='occ'?[Occ Num]:''</v>
      </c>
      <c r="H42" s="3" t="str">
        <f>"["&amp;$BI$4&amp;"]=='occ/m2'?["&amp;$BG$4&amp;"]:''"</f>
        <v>[Occ Unit]=='occ/m2'?[Occ Num]:''</v>
      </c>
      <c r="I42" s="3" t="str">
        <f>"["&amp;$BI$4&amp;"]=='m2/occ'?["&amp;$BG$4&amp;"]:''"</f>
        <v>[Occ Unit]=='m2/occ'?[Occ Num]:''</v>
      </c>
      <c r="J42" s="6">
        <v>0.3</v>
      </c>
      <c r="K42" s="3" t="str">
        <f>"["&amp;$BM$4&amp;"]"</f>
        <v>[Occ SHR]</v>
      </c>
      <c r="L42" s="3" t="str">
        <f>C36</f>
        <v>'ActivityLvSch-Met:’+[Occ Met]</v>
      </c>
      <c r="P42" s="3"/>
      <c r="T42" s="3"/>
    </row>
    <row r="43" spans="1:22" s="4" customFormat="1" ht="12.75" x14ac:dyDescent="0.2">
      <c r="A43" s="4" t="s">
        <v>3</v>
      </c>
      <c r="B43" s="4" t="s">
        <v>21</v>
      </c>
      <c r="C43" s="4" t="s">
        <v>4</v>
      </c>
      <c r="D43" s="4" t="s">
        <v>13</v>
      </c>
      <c r="E43" s="4" t="s">
        <v>16</v>
      </c>
      <c r="F43" s="4" t="s">
        <v>20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22</v>
      </c>
    </row>
    <row r="44" spans="1:22" s="11" customFormat="1" ht="12.75" x14ac:dyDescent="0.2"/>
    <row r="45" spans="1:22" s="3" customFormat="1" ht="63.75" x14ac:dyDescent="0.2">
      <c r="B45" s="3" t="str">
        <f>"Templ "&amp;B42</f>
        <v>Templ Occ Num</v>
      </c>
      <c r="C45" s="3" t="str">
        <f>"["&amp;$D$4&amp;"]+' : '+["&amp;$E$4&amp;"]+'-People'"</f>
        <v>[Zone TemplGroup]+' : '+[Zone TemplName]+'-People'</v>
      </c>
      <c r="D45" s="6" t="str">
        <f>"'ZoneList5-People-'+["&amp;$D$4&amp;"]+' : '+["&amp;$E$4&amp;"]"</f>
        <v>'ZoneList5-People-'+[Zone TemplGroup]+' : '+[Zone TemplName]</v>
      </c>
      <c r="E45" s="6" t="str">
        <f>E24</f>
        <v>'Design Internal Loads Schedule'</v>
      </c>
      <c r="F45" s="6" t="str">
        <f>"["&amp;$BI$4&amp;"]=='occ'?'People':
(["&amp;$BI$4&amp;"]=='occ/m2'?'People/Area':
(["&amp;$BI$4&amp;"]=='m2/occ'?'Area/People':''))"</f>
        <v>[Occ Unit]=='occ'?'People':
([Occ Unit]=='occ/m2'?'People/Area':
([Occ Unit]=='m2/occ'?'Area/People':''))</v>
      </c>
      <c r="G45" s="3" t="str">
        <f>"["&amp;$BI$4&amp;"]=='occ'?["&amp;$BG$4&amp;"]:''"</f>
        <v>[Occ Unit]=='occ'?[Occ Num]:''</v>
      </c>
      <c r="H45" s="3" t="str">
        <f>"["&amp;$BI$4&amp;"]=='occ/m2'?["&amp;$BG$4&amp;"]:''"</f>
        <v>[Occ Unit]=='occ/m2'?[Occ Num]:''</v>
      </c>
      <c r="I45" s="3" t="str">
        <f>"["&amp;$BI$4&amp;"]=='m2/occ'?["&amp;$BG$4&amp;"]:''"</f>
        <v>[Occ Unit]=='m2/occ'?[Occ Num]:''</v>
      </c>
      <c r="J45" s="6">
        <v>0.3</v>
      </c>
      <c r="K45" s="3" t="str">
        <f>"["&amp;$BM$4&amp;"]"</f>
        <v>[Occ SHR]</v>
      </c>
      <c r="L45" s="3" t="str">
        <f>C36</f>
        <v>'ActivityLvSch-Met:’+[Occ Met]</v>
      </c>
    </row>
    <row r="46" spans="1:22" s="4" customFormat="1" ht="12.75" x14ac:dyDescent="0.2">
      <c r="A46" s="4" t="s">
        <v>3</v>
      </c>
      <c r="B46" s="4" t="s">
        <v>21</v>
      </c>
      <c r="C46" s="4" t="s">
        <v>4</v>
      </c>
      <c r="D46" s="4" t="s">
        <v>13</v>
      </c>
      <c r="E46" s="4" t="s">
        <v>16</v>
      </c>
      <c r="F46" s="4" t="s">
        <v>20</v>
      </c>
      <c r="G46" s="4" t="s">
        <v>5</v>
      </c>
      <c r="H46" s="4" t="s">
        <v>6</v>
      </c>
      <c r="I46" s="4" t="s">
        <v>7</v>
      </c>
      <c r="J46" s="4" t="s">
        <v>8</v>
      </c>
      <c r="K46" s="4" t="s">
        <v>9</v>
      </c>
      <c r="L46" s="4" t="s">
        <v>22</v>
      </c>
    </row>
    <row r="47" spans="1:22" s="5" customFormat="1" ht="12.75" x14ac:dyDescent="0.2"/>
    <row r="48" spans="1:22" s="6" customFormat="1" ht="89.25" x14ac:dyDescent="0.2">
      <c r="B48" s="6" t="s">
        <v>33</v>
      </c>
      <c r="C48" s="3" t="str">
        <f>"["&amp;$C$4&amp;"]+'-PlugEquip'"</f>
        <v>[Zone Name]+'-PlugEquip'</v>
      </c>
      <c r="D48" s="6" t="str">
        <f>"["&amp;C4&amp;"]"</f>
        <v>[Zone Name]</v>
      </c>
      <c r="E48" s="6" t="str">
        <f>E24</f>
        <v>'Design Internal Loads Schedule'</v>
      </c>
      <c r="F48" s="6" t="str">
        <f>"["&amp;$BQ$4&amp;"]=='W'?'EquipmentLevel':
(["&amp;$BQ$4&amp;"]=='W/m2'?'Watts/Area':
(["&amp;$BQ$4&amp;"]=='W/occ'?'Watts/Person':''))"</f>
        <v>[Equip Unit]=='W'?'EquipmentLevel':
([Equip Unit]=='W/m2'?'Watts/Area':
([Equip Unit]=='W/occ'?'Watts/Person':''))</v>
      </c>
      <c r="G48" s="3" t="str">
        <f>"["&amp;$BQ$4&amp;"]=='W'?["&amp;$BO$4&amp;"]:''"</f>
        <v>[Equip Unit]=='W'?[Equip Pwr]:''</v>
      </c>
      <c r="H48" s="3" t="str">
        <f>"["&amp;$BQ$4&amp;"]=='W/m2'?["&amp;$BO$4&amp;"]:''"</f>
        <v>[Equip Unit]=='W/m2'?[Equip Pwr]:''</v>
      </c>
      <c r="I48" s="3" t="str">
        <f>"["&amp;$BQ$4&amp;"]=='W/occ'?["&amp;$BO$4&amp;"]:''"</f>
        <v>[Equip Unit]=='W/occ'?[Equip Pwr]:''</v>
      </c>
      <c r="J48" s="6" t="s">
        <v>23</v>
      </c>
      <c r="K48" s="6">
        <v>0.5</v>
      </c>
      <c r="L48" s="3">
        <v>0</v>
      </c>
      <c r="P48" s="3"/>
      <c r="S48" s="3"/>
      <c r="T48" s="3"/>
      <c r="U48" s="3"/>
      <c r="V48" s="3"/>
    </row>
    <row r="49" spans="1:14" s="4" customFormat="1" ht="12.75" x14ac:dyDescent="0.2">
      <c r="A49" s="4" t="s">
        <v>3</v>
      </c>
      <c r="B49" s="4" t="s">
        <v>24</v>
      </c>
      <c r="C49" s="4" t="s">
        <v>4</v>
      </c>
      <c r="D49" s="4" t="s">
        <v>13</v>
      </c>
      <c r="E49" s="4" t="s">
        <v>16</v>
      </c>
      <c r="F49" s="4" t="s">
        <v>20</v>
      </c>
      <c r="G49" s="4" t="s">
        <v>5</v>
      </c>
      <c r="H49" s="4" t="s">
        <v>6</v>
      </c>
      <c r="I49" s="4" t="s">
        <v>7</v>
      </c>
      <c r="J49" s="4" t="s">
        <v>8</v>
      </c>
      <c r="K49" s="4" t="s">
        <v>9</v>
      </c>
      <c r="L49" s="4" t="s">
        <v>10</v>
      </c>
    </row>
    <row r="50" spans="1:14" s="11" customFormat="1" ht="12.75" x14ac:dyDescent="0.2"/>
    <row r="51" spans="1:14" s="3" customFormat="1" ht="89.25" x14ac:dyDescent="0.2">
      <c r="B51" s="3" t="str">
        <f>"Templ "&amp;B48</f>
        <v>Templ Equip Pwr</v>
      </c>
      <c r="C51" s="3" t="str">
        <f>"["&amp;$D$4&amp;"]+' : '+["&amp;$E$4&amp;"]+'-PlugEquip'"</f>
        <v>[Zone TemplGroup]+' : '+[Zone TemplName]+'-PlugEquip'</v>
      </c>
      <c r="D51" s="6" t="str">
        <f>"'ZoneList6-PlugEquip-'+["&amp;$D$4&amp;"]+' : '+["&amp;$E$4&amp;"]"</f>
        <v>'ZoneList6-PlugEquip-'+[Zone TemplGroup]+' : '+[Zone TemplName]</v>
      </c>
      <c r="E51" s="6" t="str">
        <f>E24</f>
        <v>'Design Internal Loads Schedule'</v>
      </c>
      <c r="F51" s="6" t="str">
        <f>"["&amp;$BQ$4&amp;"]=='W'?'EquipmentLevel':
(["&amp;$BQ$4&amp;"]=='W/m2'?'Watts/Area':
(["&amp;$BQ$4&amp;"]=='W/occ'?'Watts/Person':''))"</f>
        <v>[Equip Unit]=='W'?'EquipmentLevel':
([Equip Unit]=='W/m2'?'Watts/Area':
([Equip Unit]=='W/occ'?'Watts/Person':''))</v>
      </c>
      <c r="G51" s="3" t="str">
        <f>"["&amp;$BQ$4&amp;"]=='W'?["&amp;$BO$4&amp;"]:''"</f>
        <v>[Equip Unit]=='W'?[Equip Pwr]:''</v>
      </c>
      <c r="H51" s="3" t="str">
        <f>"["&amp;$BQ$4&amp;"]=='W/m2'?["&amp;$BO$4&amp;"]:''"</f>
        <v>[Equip Unit]=='W/m2'?[Equip Pwr]:''</v>
      </c>
      <c r="I51" s="3" t="str">
        <f>"["&amp;$BQ$4&amp;"]=='W/occ'?["&amp;$BO$4&amp;"]:''"</f>
        <v>[Equip Unit]=='W/occ'?[Equip Pwr]:''</v>
      </c>
      <c r="J51" s="6" t="s">
        <v>23</v>
      </c>
      <c r="K51" s="6">
        <v>0.5</v>
      </c>
      <c r="L51" s="3">
        <v>0</v>
      </c>
    </row>
    <row r="52" spans="1:14" s="4" customFormat="1" ht="12.75" x14ac:dyDescent="0.2">
      <c r="A52" s="4" t="s">
        <v>3</v>
      </c>
      <c r="B52" s="4" t="s">
        <v>24</v>
      </c>
      <c r="C52" s="4" t="s">
        <v>4</v>
      </c>
      <c r="D52" s="4" t="s">
        <v>13</v>
      </c>
      <c r="E52" s="4" t="s">
        <v>16</v>
      </c>
      <c r="F52" s="4" t="s">
        <v>20</v>
      </c>
      <c r="G52" s="4" t="s">
        <v>5</v>
      </c>
      <c r="H52" s="4" t="s">
        <v>6</v>
      </c>
      <c r="I52" s="4" t="s">
        <v>7</v>
      </c>
      <c r="J52" s="4" t="s">
        <v>8</v>
      </c>
      <c r="K52" s="4" t="s">
        <v>9</v>
      </c>
      <c r="L52" s="4" t="s">
        <v>10</v>
      </c>
    </row>
    <row r="53" spans="1:14" s="11" customFormat="1" ht="12.75" x14ac:dyDescent="0.2"/>
    <row r="54" spans="1:14" s="7" customFormat="1" ht="12.75" x14ac:dyDescent="0.2">
      <c r="B54" s="7" t="s">
        <v>102</v>
      </c>
      <c r="C54" s="3" t="str">
        <f>"'InfiltrationSch’"</f>
        <v>'InfiltrationSch’</v>
      </c>
      <c r="D54" s="8" t="str">
        <f>"'Any Number'"</f>
        <v>'Any Number'</v>
      </c>
      <c r="E54" s="3">
        <v>1</v>
      </c>
    </row>
    <row r="55" spans="1:14" s="4" customFormat="1" ht="12.75" x14ac:dyDescent="0.2">
      <c r="A55" s="4" t="s">
        <v>3</v>
      </c>
      <c r="B55" s="4" t="s">
        <v>92</v>
      </c>
      <c r="C55" s="4" t="s">
        <v>4</v>
      </c>
      <c r="D55" s="4" t="s">
        <v>13</v>
      </c>
      <c r="E55" s="4" t="s">
        <v>5</v>
      </c>
    </row>
    <row r="56" spans="1:14" s="5" customFormat="1" ht="12.75" x14ac:dyDescent="0.2"/>
    <row r="57" spans="1:14" s="6" customFormat="1" ht="29.25" customHeight="1" x14ac:dyDescent="0.2">
      <c r="B57" s="6" t="str">
        <f>B58&amp;"_ACH_Htg"</f>
        <v>ZoneInfiltration:DesignFlowRate_ACH_Htg</v>
      </c>
      <c r="C57" s="3" t="str">
        <f>"["&amp;$C$4&amp;"]+'-ZoneInfil-Htng'"</f>
        <v>[Zone Name]+'-ZoneInfil-Htng'</v>
      </c>
      <c r="D57" s="6" t="str">
        <f>"["&amp;$C$4&amp;"]"</f>
        <v>[Zone Name]</v>
      </c>
      <c r="E57" s="3" t="str">
        <f>C54</f>
        <v>'InfiltrationSch’</v>
      </c>
      <c r="F57" s="3" t="str">
        <f>"'AirChanges/Hour'"</f>
        <v>'AirChanges/Hour'</v>
      </c>
      <c r="G57" s="6" t="str">
        <f>"''"</f>
        <v>''</v>
      </c>
      <c r="H57" s="6" t="str">
        <f>"''"</f>
        <v>''</v>
      </c>
      <c r="I57" s="8" t="str">
        <f>"''"</f>
        <v>''</v>
      </c>
      <c r="J57" s="3" t="str">
        <f>"["&amp;$AS$4&amp;"]"</f>
        <v>[Inf Htg Dsn ACH]</v>
      </c>
      <c r="K57" s="3">
        <v>1</v>
      </c>
      <c r="L57" s="3">
        <v>0</v>
      </c>
      <c r="M57" s="3">
        <v>0</v>
      </c>
      <c r="N57" s="3">
        <v>0</v>
      </c>
    </row>
    <row r="58" spans="1:14" s="4" customFormat="1" ht="12.75" x14ac:dyDescent="0.2">
      <c r="A58" s="4" t="s">
        <v>3</v>
      </c>
      <c r="B58" s="4" t="s">
        <v>25</v>
      </c>
      <c r="C58" s="4" t="s">
        <v>4</v>
      </c>
      <c r="D58" s="4" t="s">
        <v>13</v>
      </c>
      <c r="E58" s="4" t="s">
        <v>16</v>
      </c>
      <c r="F58" s="4" t="s">
        <v>20</v>
      </c>
      <c r="G58" s="4" t="s">
        <v>5</v>
      </c>
      <c r="H58" s="4" t="s">
        <v>6</v>
      </c>
      <c r="I58" s="4" t="s">
        <v>7</v>
      </c>
      <c r="J58" s="4" t="s">
        <v>8</v>
      </c>
      <c r="K58" s="4" t="s">
        <v>9</v>
      </c>
      <c r="L58" s="4" t="s">
        <v>10</v>
      </c>
      <c r="M58" s="4" t="s">
        <v>11</v>
      </c>
      <c r="N58" s="4" t="s">
        <v>26</v>
      </c>
    </row>
    <row r="59" spans="1:14" s="7" customFormat="1" ht="12.75" x14ac:dyDescent="0.2"/>
    <row r="60" spans="1:14" s="6" customFormat="1" ht="29.25" customHeight="1" x14ac:dyDescent="0.2">
      <c r="B60" s="6" t="str">
        <f>B61&amp;"_ACH_Clg"</f>
        <v>ZoneInfiltration:DesignFlowRate_ACH_Clg</v>
      </c>
      <c r="C60" s="3" t="str">
        <f>"["&amp;$C$4&amp;"]+'-ZoneInfil-Clng'"</f>
        <v>[Zone Name]+'-ZoneInfil-Clng'</v>
      </c>
      <c r="D60" s="6" t="str">
        <f>"["&amp;$C$4&amp;"]"</f>
        <v>[Zone Name]</v>
      </c>
      <c r="E60" s="3" t="str">
        <f>C54</f>
        <v>'InfiltrationSch’</v>
      </c>
      <c r="F60" s="3" t="str">
        <f>"'AirChanges/Hour'"</f>
        <v>'AirChanges/Hour'</v>
      </c>
      <c r="G60" s="6" t="str">
        <f>"''"</f>
        <v>''</v>
      </c>
      <c r="H60" s="6" t="str">
        <f>"''"</f>
        <v>''</v>
      </c>
      <c r="I60" s="8" t="str">
        <f>"''"</f>
        <v>''</v>
      </c>
      <c r="J60" s="3" t="str">
        <f>"["&amp;$AO$4&amp;"]"</f>
        <v>[Inf Clg Dsn ACH]</v>
      </c>
      <c r="K60" s="3">
        <v>1</v>
      </c>
      <c r="L60" s="3">
        <v>0</v>
      </c>
      <c r="M60" s="3">
        <v>0</v>
      </c>
      <c r="N60" s="3">
        <v>0</v>
      </c>
    </row>
    <row r="61" spans="1:14" s="4" customFormat="1" ht="12.75" x14ac:dyDescent="0.2">
      <c r="A61" s="4" t="s">
        <v>3</v>
      </c>
      <c r="B61" s="4" t="s">
        <v>25</v>
      </c>
      <c r="C61" s="4" t="s">
        <v>4</v>
      </c>
      <c r="D61" s="4" t="s">
        <v>13</v>
      </c>
      <c r="E61" s="4" t="s">
        <v>16</v>
      </c>
      <c r="F61" s="4" t="s">
        <v>20</v>
      </c>
      <c r="G61" s="4" t="s">
        <v>5</v>
      </c>
      <c r="H61" s="4" t="s">
        <v>6</v>
      </c>
      <c r="I61" s="4" t="s">
        <v>7</v>
      </c>
      <c r="J61" s="4" t="s">
        <v>8</v>
      </c>
      <c r="K61" s="4" t="s">
        <v>9</v>
      </c>
      <c r="L61" s="4" t="s">
        <v>10</v>
      </c>
      <c r="M61" s="4" t="s">
        <v>11</v>
      </c>
      <c r="N61" s="4" t="s">
        <v>26</v>
      </c>
    </row>
    <row r="62" spans="1:14" s="11" customFormat="1" ht="15" customHeight="1" x14ac:dyDescent="0.2"/>
    <row r="63" spans="1:14" s="7" customFormat="1" ht="25.5" x14ac:dyDescent="0.2">
      <c r="B63" s="6" t="str">
        <f>B64&amp;"_L/s/m2_Htg"</f>
        <v>ZoneInfiltration:DesignFlowRate_L/s/m2_Htg</v>
      </c>
      <c r="C63" s="3" t="str">
        <f>"["&amp;$C$4&amp;"]+'-ZoneInfil-Htng'"</f>
        <v>[Zone Name]+'-ZoneInfil-Htng'</v>
      </c>
      <c r="D63" s="6" t="str">
        <f>"["&amp;$C$4&amp;"]"</f>
        <v>[Zone Name]</v>
      </c>
      <c r="E63" s="3" t="str">
        <f>C54</f>
        <v>'InfiltrationSch’</v>
      </c>
      <c r="F63" s="8" t="str">
        <f>"'Flow/ExteriorWallArea'"</f>
        <v>'Flow/ExteriorWallArea'</v>
      </c>
      <c r="G63" s="6" t="str">
        <f>"''"</f>
        <v>''</v>
      </c>
      <c r="H63" s="6" t="str">
        <f>"''"</f>
        <v>''</v>
      </c>
      <c r="I63" s="3" t="str">
        <f>"["&amp;$AU$4&amp;"]/1000"</f>
        <v>[Inf Htg Dsn L/S/m2]/1000</v>
      </c>
      <c r="J63" s="8" t="str">
        <f>"''"</f>
        <v>''</v>
      </c>
      <c r="K63" s="3">
        <v>1</v>
      </c>
      <c r="L63" s="3">
        <v>0</v>
      </c>
      <c r="M63" s="3">
        <v>0</v>
      </c>
      <c r="N63" s="3">
        <v>0</v>
      </c>
    </row>
    <row r="64" spans="1:14" s="4" customFormat="1" ht="12.75" x14ac:dyDescent="0.2">
      <c r="A64" s="4" t="s">
        <v>3</v>
      </c>
      <c r="B64" s="4" t="s">
        <v>25</v>
      </c>
      <c r="C64" s="4" t="s">
        <v>4</v>
      </c>
      <c r="D64" s="4" t="s">
        <v>13</v>
      </c>
      <c r="E64" s="4" t="s">
        <v>16</v>
      </c>
      <c r="F64" s="4" t="s">
        <v>20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  <c r="M64" s="4" t="s">
        <v>11</v>
      </c>
      <c r="N64" s="4" t="s">
        <v>26</v>
      </c>
    </row>
    <row r="65" spans="1:41" s="7" customFormat="1" ht="12.75" x14ac:dyDescent="0.2"/>
    <row r="66" spans="1:41" s="7" customFormat="1" ht="25.5" x14ac:dyDescent="0.2">
      <c r="B66" s="6" t="str">
        <f>B67&amp;"_L/s/m2_Clg"</f>
        <v>ZoneInfiltration:DesignFlowRate_L/s/m2_Clg</v>
      </c>
      <c r="C66" s="3" t="str">
        <f>"["&amp;$C$4&amp;"]+'-ZoneInfil-Clng'"</f>
        <v>[Zone Name]+'-ZoneInfil-Clng'</v>
      </c>
      <c r="D66" s="6" t="str">
        <f>"["&amp;$C$4&amp;"]"</f>
        <v>[Zone Name]</v>
      </c>
      <c r="E66" s="3" t="str">
        <f>C54</f>
        <v>'InfiltrationSch’</v>
      </c>
      <c r="F66" s="8" t="str">
        <f>"'Flow/ExteriorWallArea'"</f>
        <v>'Flow/ExteriorWallArea'</v>
      </c>
      <c r="G66" s="6" t="str">
        <f>"''"</f>
        <v>''</v>
      </c>
      <c r="H66" s="6" t="str">
        <f>"''"</f>
        <v>''</v>
      </c>
      <c r="I66" s="3" t="str">
        <f>"["&amp;$AQ$4&amp;"]/1000"</f>
        <v>[Inf Clg Dsn L/S/m2]/1000</v>
      </c>
      <c r="J66" s="8" t="str">
        <f>"''"</f>
        <v>''</v>
      </c>
      <c r="K66" s="3">
        <v>1</v>
      </c>
      <c r="L66" s="3">
        <v>0</v>
      </c>
      <c r="M66" s="3">
        <v>0</v>
      </c>
      <c r="N66" s="3">
        <v>0</v>
      </c>
    </row>
    <row r="67" spans="1:41" s="4" customFormat="1" ht="12.75" x14ac:dyDescent="0.2">
      <c r="A67" s="4" t="s">
        <v>3</v>
      </c>
      <c r="B67" s="4" t="s">
        <v>25</v>
      </c>
      <c r="C67" s="4" t="s">
        <v>4</v>
      </c>
      <c r="D67" s="4" t="s">
        <v>13</v>
      </c>
      <c r="E67" s="4" t="s">
        <v>16</v>
      </c>
      <c r="F67" s="4" t="s">
        <v>20</v>
      </c>
      <c r="G67" s="4" t="s">
        <v>5</v>
      </c>
      <c r="H67" s="4" t="s">
        <v>6</v>
      </c>
      <c r="I67" s="4" t="s">
        <v>7</v>
      </c>
      <c r="J67" s="4" t="s">
        <v>8</v>
      </c>
      <c r="K67" s="4" t="s">
        <v>9</v>
      </c>
      <c r="L67" s="4" t="s">
        <v>10</v>
      </c>
      <c r="M67" s="4" t="s">
        <v>11</v>
      </c>
      <c r="N67" s="4" t="s">
        <v>26</v>
      </c>
    </row>
    <row r="68" spans="1:41" s="5" customFormat="1" ht="12.75" x14ac:dyDescent="0.2"/>
    <row r="69" spans="1:41" s="6" customFormat="1" ht="25.5" x14ac:dyDescent="0.2">
      <c r="B69" s="6" t="str">
        <f>"Templ_"&amp;B70&amp;"_Htg"</f>
        <v>Templ_ZoneInfiltration:DesignFlowRate_Htg</v>
      </c>
      <c r="C69" s="3" t="str">
        <f>"["&amp;$D$4&amp;"]+' : '+["&amp;$E$4&amp;"]+'-ZoneInfil-Htng'"</f>
        <v>[Zone TemplGroup]+' : '+[Zone TemplName]+'-ZoneInfil-Htng'</v>
      </c>
      <c r="D69" s="6" t="str">
        <f>"["&amp;$C$4&amp;"]"</f>
        <v>[Zone Name]</v>
      </c>
      <c r="E69" s="6" t="str">
        <f>C54</f>
        <v>'InfiltrationSch’</v>
      </c>
      <c r="F69" s="3" t="str">
        <f>"'AirChanges/Hour'"</f>
        <v>'AirChanges/Hour'</v>
      </c>
      <c r="G69" s="6" t="str">
        <f>"''"</f>
        <v>''</v>
      </c>
      <c r="H69" s="6" t="str">
        <f>"''"</f>
        <v>''</v>
      </c>
      <c r="I69" s="8" t="str">
        <f>"''"</f>
        <v>''</v>
      </c>
      <c r="J69" s="3" t="str">
        <f>"["&amp;$AS$4&amp;"]"</f>
        <v>[Inf Htg Dsn ACH]</v>
      </c>
      <c r="K69" s="3">
        <v>1</v>
      </c>
      <c r="L69" s="3">
        <v>0</v>
      </c>
      <c r="M69" s="3">
        <v>0</v>
      </c>
      <c r="N69" s="3">
        <v>0</v>
      </c>
    </row>
    <row r="70" spans="1:41" s="4" customFormat="1" ht="12.75" x14ac:dyDescent="0.2">
      <c r="A70" s="4" t="s">
        <v>3</v>
      </c>
      <c r="B70" s="4" t="s">
        <v>25</v>
      </c>
      <c r="C70" s="4" t="s">
        <v>4</v>
      </c>
      <c r="D70" s="4" t="s">
        <v>13</v>
      </c>
      <c r="E70" s="4" t="s">
        <v>16</v>
      </c>
      <c r="F70" s="4" t="s">
        <v>20</v>
      </c>
      <c r="G70" s="4" t="s">
        <v>5</v>
      </c>
      <c r="H70" s="4" t="s">
        <v>6</v>
      </c>
      <c r="I70" s="4" t="s">
        <v>7</v>
      </c>
      <c r="J70" s="4" t="s">
        <v>8</v>
      </c>
      <c r="K70" s="4" t="s">
        <v>9</v>
      </c>
      <c r="L70" s="4" t="s">
        <v>10</v>
      </c>
      <c r="M70" s="4" t="s">
        <v>11</v>
      </c>
      <c r="N70" s="4" t="s">
        <v>26</v>
      </c>
    </row>
    <row r="71" spans="1:41" s="7" customFormat="1" ht="12.75" x14ac:dyDescent="0.2"/>
    <row r="72" spans="1:41" s="6" customFormat="1" ht="25.5" x14ac:dyDescent="0.2">
      <c r="B72" s="6" t="str">
        <f>"Templ_"&amp;B73&amp;"_Clg"</f>
        <v>Templ_ZoneInfiltration:DesignFlowRate_Clg</v>
      </c>
      <c r="C72" s="3" t="str">
        <f>"["&amp;$D$4&amp;"]+' : '+["&amp;$E$4&amp;"]+'-ZoneInfil-Clng'"</f>
        <v>[Zone TemplGroup]+' : '+[Zone TemplName]+'-ZoneInfil-Clng'</v>
      </c>
      <c r="D72" s="6" t="str">
        <f>"["&amp;$C$4&amp;"]"</f>
        <v>[Zone Name]</v>
      </c>
      <c r="E72" s="6" t="str">
        <f>C54</f>
        <v>'InfiltrationSch’</v>
      </c>
      <c r="F72" s="3" t="str">
        <f>"'AirChanges/Hour'"</f>
        <v>'AirChanges/Hour'</v>
      </c>
      <c r="G72" s="6" t="str">
        <f>"''"</f>
        <v>''</v>
      </c>
      <c r="H72" s="6" t="str">
        <f>"''"</f>
        <v>''</v>
      </c>
      <c r="I72" s="8" t="str">
        <f>"''"</f>
        <v>''</v>
      </c>
      <c r="J72" s="3" t="str">
        <f>"["&amp;$AO$4&amp;"]"</f>
        <v>[Inf Clg Dsn ACH]</v>
      </c>
      <c r="K72" s="3">
        <v>1</v>
      </c>
      <c r="L72" s="3">
        <v>0</v>
      </c>
      <c r="M72" s="3">
        <v>0</v>
      </c>
      <c r="N72" s="3">
        <v>0</v>
      </c>
    </row>
    <row r="73" spans="1:41" s="4" customFormat="1" ht="12.75" x14ac:dyDescent="0.2">
      <c r="A73" s="4" t="s">
        <v>3</v>
      </c>
      <c r="B73" s="4" t="s">
        <v>25</v>
      </c>
      <c r="C73" s="4" t="s">
        <v>4</v>
      </c>
      <c r="D73" s="4" t="s">
        <v>13</v>
      </c>
      <c r="E73" s="4" t="s">
        <v>16</v>
      </c>
      <c r="F73" s="4" t="s">
        <v>20</v>
      </c>
      <c r="G73" s="4" t="s">
        <v>5</v>
      </c>
      <c r="H73" s="4" t="s">
        <v>6</v>
      </c>
      <c r="I73" s="4" t="s">
        <v>7</v>
      </c>
      <c r="J73" s="4" t="s">
        <v>8</v>
      </c>
      <c r="K73" s="4" t="s">
        <v>9</v>
      </c>
      <c r="L73" s="4" t="s">
        <v>10</v>
      </c>
      <c r="M73" s="4" t="s">
        <v>11</v>
      </c>
      <c r="N73" s="4" t="s">
        <v>26</v>
      </c>
    </row>
    <row r="74" spans="1:41" s="7" customFormat="1" ht="12.75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AN74" s="5"/>
      <c r="AO74" s="5"/>
    </row>
    <row r="75" spans="1:41" s="3" customFormat="1" ht="34.5" customHeight="1" x14ac:dyDescent="0.2">
      <c r="B75" s="3" t="str">
        <f>B76&amp;"_ACH"</f>
        <v>DesignSpecification:OutdoorAir_ACH</v>
      </c>
      <c r="C75" s="3" t="str">
        <f>"["&amp;$C$4&amp;"]+'-DsnSpec.OA'"</f>
        <v>[Zone Name]+'-DsnSpec.OA'</v>
      </c>
      <c r="D75" s="8" t="str">
        <f>"'AirChanges/Hour'"</f>
        <v>'AirChanges/Hour'</v>
      </c>
      <c r="E75" s="3" t="str">
        <f>"''"</f>
        <v>''</v>
      </c>
      <c r="F75" s="3" t="str">
        <f>"''"</f>
        <v>''</v>
      </c>
      <c r="G75" s="3" t="str">
        <f>"''"</f>
        <v>''</v>
      </c>
      <c r="H75" s="3" t="str">
        <f>"["&amp;$Y$4&amp;"]"</f>
        <v>[Min OA ACH]</v>
      </c>
    </row>
    <row r="76" spans="1:41" s="4" customFormat="1" ht="12.75" x14ac:dyDescent="0.2">
      <c r="A76" s="4" t="s">
        <v>3</v>
      </c>
      <c r="B76" s="4" t="s">
        <v>18</v>
      </c>
      <c r="C76" s="4" t="s">
        <v>4</v>
      </c>
      <c r="D76" s="4" t="s">
        <v>13</v>
      </c>
      <c r="E76" s="4" t="s">
        <v>5</v>
      </c>
      <c r="F76" s="4" t="s">
        <v>6</v>
      </c>
      <c r="G76" s="4" t="s">
        <v>7</v>
      </c>
      <c r="H76" s="4" t="s">
        <v>8</v>
      </c>
    </row>
    <row r="77" spans="1:41" s="7" customFormat="1" ht="12.75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AN77" s="5"/>
      <c r="AO77" s="5"/>
    </row>
    <row r="78" spans="1:41" s="3" customFormat="1" ht="32.25" customHeight="1" x14ac:dyDescent="0.2">
      <c r="B78" s="3" t="str">
        <f>B79&amp;"_RpRa"</f>
        <v>DesignSpecification:OutdoorAir_RpRa</v>
      </c>
      <c r="C78" s="3" t="str">
        <f>"["&amp;$C$4&amp;"]+'-DsnSpec.OA'"</f>
        <v>[Zone Name]+'-DsnSpec.OA'</v>
      </c>
      <c r="D78" s="8" t="str">
        <f>"'Sum'"</f>
        <v>'Sum'</v>
      </c>
      <c r="E78" s="3" t="str">
        <f>"["&amp;$AA$4&amp;"]/1000"</f>
        <v>[Min OA Rp]/1000</v>
      </c>
      <c r="F78" s="3" t="str">
        <f>"["&amp;$AC$4&amp;"]/1000"</f>
        <v>[Min OA Ra]/1000</v>
      </c>
      <c r="G78" s="3" t="str">
        <f>"''"</f>
        <v>''</v>
      </c>
      <c r="H78" s="3" t="str">
        <f>"''"</f>
        <v>''</v>
      </c>
    </row>
    <row r="79" spans="1:41" s="4" customFormat="1" ht="12.75" x14ac:dyDescent="0.2">
      <c r="A79" s="4" t="s">
        <v>3</v>
      </c>
      <c r="B79" s="4" t="s">
        <v>18</v>
      </c>
      <c r="C79" s="4" t="s">
        <v>4</v>
      </c>
      <c r="D79" s="4" t="s">
        <v>13</v>
      </c>
      <c r="E79" s="4" t="s">
        <v>5</v>
      </c>
      <c r="F79" s="4" t="s">
        <v>6</v>
      </c>
      <c r="G79" s="4" t="s">
        <v>7</v>
      </c>
      <c r="H79" s="4" t="s">
        <v>8</v>
      </c>
    </row>
    <row r="80" spans="1:41" s="7" customFormat="1" ht="12.75" x14ac:dyDescent="0.2"/>
    <row r="81" spans="1:31" s="3" customFormat="1" ht="40.5" customHeight="1" x14ac:dyDescent="0.2">
      <c r="C81" s="3" t="str">
        <f>"'DsnSpec.ZnAirDist-Ez:'+["&amp;AE4&amp;"]"</f>
        <v>'DsnSpec.ZnAirDist-Ez:'+[OA EZ Vent Eff]</v>
      </c>
      <c r="D81" s="3" t="str">
        <f>"["&amp;AE4&amp;"]"</f>
        <v>[OA EZ Vent Eff]</v>
      </c>
      <c r="E81" s="3" t="str">
        <f>"["&amp;AE4&amp;"]"</f>
        <v>[OA EZ Vent Eff]</v>
      </c>
    </row>
    <row r="82" spans="1:31" s="4" customFormat="1" ht="12.75" x14ac:dyDescent="0.2">
      <c r="A82" s="4" t="s">
        <v>3</v>
      </c>
      <c r="B82" s="4" t="s">
        <v>107</v>
      </c>
      <c r="C82" s="4" t="s">
        <v>4</v>
      </c>
      <c r="D82" s="4" t="s">
        <v>5</v>
      </c>
      <c r="E82" s="4" t="s">
        <v>6</v>
      </c>
    </row>
    <row r="83" spans="1:31" s="5" customFormat="1" ht="12.75" x14ac:dyDescent="0.2"/>
    <row r="84" spans="1:31" s="6" customFormat="1" ht="46.5" customHeight="1" x14ac:dyDescent="0.2">
      <c r="C84" s="6" t="str">
        <f>"["&amp;C4&amp;"]"</f>
        <v>[Zone Name]</v>
      </c>
      <c r="D84" s="9" t="str">
        <f>"'SupplyAirTemperature'"</f>
        <v>'SupplyAirTemperature'</v>
      </c>
      <c r="E84" s="3" t="str">
        <f>"["&amp;Q4&amp;"]"</f>
        <v>[Clng SAT]</v>
      </c>
      <c r="F84" s="6" t="str">
        <f>"''"</f>
        <v>''</v>
      </c>
      <c r="G84" s="9" t="str">
        <f>"'SupplyAirTemperature'"</f>
        <v>'SupplyAirTemperature'</v>
      </c>
      <c r="H84" s="3" t="str">
        <f>"["&amp;U4&amp;"]"</f>
        <v>[Htng SAT]</v>
      </c>
      <c r="I84" s="6" t="str">
        <f>"''"</f>
        <v>''</v>
      </c>
      <c r="J84" s="3" t="str">
        <f>"["&amp;S4&amp;"]"</f>
        <v>[Clng HR]</v>
      </c>
      <c r="K84" s="3" t="str">
        <f>"["&amp;W4&amp;"]"</f>
        <v>[Htng HR]</v>
      </c>
      <c r="L84" s="3" t="str">
        <f>C75</f>
        <v>[Zone Name]+'-DsnSpec.OA'</v>
      </c>
      <c r="M84" s="6" t="str">
        <f>"''"</f>
        <v>''</v>
      </c>
      <c r="N84" s="6" t="str">
        <f>"''"</f>
        <v>''</v>
      </c>
      <c r="O84" s="3" t="str">
        <f>"'DesignDayWithLimit'"</f>
        <v>'DesignDayWithLimit'</v>
      </c>
      <c r="P84" s="6" t="str">
        <f>"''"</f>
        <v>''</v>
      </c>
      <c r="Q84" s="6" t="str">
        <f>"[FlowPerZoneArea L/S/m2]?[FlowPerZoneArea L/S/m2]/1000:''"</f>
        <v>[FlowPerZoneArea L/S/m2]?[FlowPerZoneArea L/S/m2]/1000:''</v>
      </c>
      <c r="R84" s="6" t="str">
        <f>"[Min SA ACH]?[Min SA ACH]*[Volume]/3600:''"</f>
        <v>[Min SA ACH]?[Min SA ACH]*[Volume]/3600:''</v>
      </c>
      <c r="S84" s="6" t="str">
        <f>"''"</f>
        <v>''</v>
      </c>
      <c r="T84" s="3" t="str">
        <f>"'DesignDay'"</f>
        <v>'DesignDay'</v>
      </c>
      <c r="U84" s="6" t="str">
        <f>"''"</f>
        <v>''</v>
      </c>
      <c r="V84" s="6" t="str">
        <f>"[FlowPerZoneArea L/S/m2]?[FlowPerZoneArea L/S/m2]/1000:''"</f>
        <v>[FlowPerZoneArea L/S/m2]?[FlowPerZoneArea L/S/m2]/1000:''</v>
      </c>
      <c r="W84" s="6" t="str">
        <f>"''"</f>
        <v>''</v>
      </c>
      <c r="X84" s="6" t="str">
        <f>"''"</f>
        <v>''</v>
      </c>
      <c r="Y84" s="3" t="str">
        <f>"[OA EZ Vent Eff]?'DsnSpec.ZnAirDist-Ex:'+[OA EZ Vent Eff]:''"</f>
        <v>[OA EZ Vent Eff]?'DsnSpec.ZnAirDist-Ex:'+[OA EZ Vent Eff]:''</v>
      </c>
      <c r="AE84" s="3"/>
    </row>
    <row r="85" spans="1:31" s="4" customFormat="1" ht="12.75" x14ac:dyDescent="0.2">
      <c r="A85" s="4" t="s">
        <v>3</v>
      </c>
      <c r="B85" s="4" t="s">
        <v>17</v>
      </c>
      <c r="C85" s="4" t="s">
        <v>4</v>
      </c>
      <c r="D85" s="4" t="s">
        <v>13</v>
      </c>
      <c r="E85" s="4" t="s">
        <v>5</v>
      </c>
      <c r="F85" s="4" t="s">
        <v>6</v>
      </c>
      <c r="G85" s="4" t="s">
        <v>16</v>
      </c>
      <c r="H85" s="4" t="s">
        <v>7</v>
      </c>
      <c r="I85" s="4" t="s">
        <v>8</v>
      </c>
      <c r="J85" s="4" t="s">
        <v>9</v>
      </c>
      <c r="K85" s="4" t="s">
        <v>10</v>
      </c>
      <c r="L85" s="4" t="s">
        <v>20</v>
      </c>
      <c r="M85" s="4" t="s">
        <v>11</v>
      </c>
      <c r="N85" s="4" t="s">
        <v>26</v>
      </c>
      <c r="O85" s="4" t="s">
        <v>22</v>
      </c>
      <c r="P85" s="4" t="s">
        <v>109</v>
      </c>
      <c r="Q85" s="4" t="s">
        <v>110</v>
      </c>
      <c r="R85" s="4" t="s">
        <v>111</v>
      </c>
      <c r="S85" s="4" t="s">
        <v>112</v>
      </c>
      <c r="T85" s="4" t="s">
        <v>113</v>
      </c>
      <c r="U85" s="4" t="s">
        <v>114</v>
      </c>
      <c r="V85" s="4" t="s">
        <v>115</v>
      </c>
      <c r="W85" s="4" t="s">
        <v>116</v>
      </c>
      <c r="X85" s="4" t="s">
        <v>117</v>
      </c>
      <c r="Y85" s="4" t="s">
        <v>29</v>
      </c>
    </row>
    <row r="86" spans="1:31" s="7" customFormat="1" ht="12.75" x14ac:dyDescent="0.2"/>
    <row r="87" spans="1:31" s="7" customFormat="1" ht="41.25" customHeight="1" x14ac:dyDescent="0.2">
      <c r="B87" s="7" t="s">
        <v>93</v>
      </c>
      <c r="C87" s="3" t="str">
        <f>"'"&amp;B87&amp;"-'+["&amp;$M$4&amp;"]+'C'"</f>
        <v>'SingleHtgSetPt_Sch-'+[Dsn Space Htg Temp]+'C'</v>
      </c>
      <c r="D87" s="7" t="str">
        <f>"'Temperature'"</f>
        <v>'Temperature'</v>
      </c>
      <c r="E87" s="7" t="str">
        <f>"["&amp;M4&amp;"]"</f>
        <v>[Dsn Space Htg Temp]</v>
      </c>
    </row>
    <row r="88" spans="1:31" s="4" customFormat="1" ht="12.75" x14ac:dyDescent="0.2">
      <c r="A88" s="4" t="s">
        <v>3</v>
      </c>
      <c r="B88" s="4" t="s">
        <v>92</v>
      </c>
      <c r="C88" s="4" t="s">
        <v>4</v>
      </c>
      <c r="D88" s="4" t="s">
        <v>13</v>
      </c>
      <c r="E88" s="4" t="s">
        <v>5</v>
      </c>
    </row>
    <row r="89" spans="1:31" s="5" customFormat="1" ht="12.75" x14ac:dyDescent="0.2"/>
    <row r="90" spans="1:31" s="14" customFormat="1" ht="34.5" customHeight="1" x14ac:dyDescent="0.2">
      <c r="B90" s="14" t="s">
        <v>94</v>
      </c>
      <c r="C90" s="15" t="str">
        <f>"'SingleHtgSetPt-'+["&amp;M4&amp;"]"</f>
        <v>'SingleHtgSetPt-'+[Dsn Space Htg Temp]</v>
      </c>
      <c r="D90" s="15" t="str">
        <f>C87</f>
        <v>'SingleHtgSetPt_Sch-'+[Dsn Space Htg Temp]+'C'</v>
      </c>
    </row>
    <row r="91" spans="1:31" s="16" customFormat="1" ht="12.75" x14ac:dyDescent="0.2">
      <c r="A91" s="16" t="s">
        <v>3</v>
      </c>
      <c r="B91" s="16" t="s">
        <v>12</v>
      </c>
      <c r="C91" s="16" t="s">
        <v>4</v>
      </c>
      <c r="D91" s="16" t="s">
        <v>13</v>
      </c>
    </row>
    <row r="92" spans="1:31" s="17" customFormat="1" ht="12.75" x14ac:dyDescent="0.2"/>
    <row r="93" spans="1:31" s="18" customFormat="1" ht="12.75" x14ac:dyDescent="0.2">
      <c r="B93" s="18" t="s">
        <v>104</v>
      </c>
      <c r="C93" s="15" t="str">
        <f>"'"&amp;B93&amp;"’"</f>
        <v>'ControlTypeSch_SingleHtg’</v>
      </c>
      <c r="D93" s="18" t="str">
        <f>"'Control Type'"</f>
        <v>'Control Type'</v>
      </c>
      <c r="E93" s="18">
        <v>1</v>
      </c>
    </row>
    <row r="94" spans="1:31" s="16" customFormat="1" ht="12.75" x14ac:dyDescent="0.2">
      <c r="A94" s="16" t="s">
        <v>3</v>
      </c>
      <c r="B94" s="16" t="s">
        <v>92</v>
      </c>
      <c r="C94" s="16" t="s">
        <v>4</v>
      </c>
      <c r="D94" s="16" t="s">
        <v>13</v>
      </c>
      <c r="E94" s="16" t="s">
        <v>5</v>
      </c>
    </row>
    <row r="95" spans="1:31" s="18" customFormat="1" ht="12.75" x14ac:dyDescent="0.2"/>
    <row r="96" spans="1:31" s="15" customFormat="1" ht="49.5" customHeight="1" x14ac:dyDescent="0.2">
      <c r="B96" s="15" t="s">
        <v>99</v>
      </c>
      <c r="C96" s="15" t="str">
        <f>"["&amp;$C$4&amp;"]+'-Tstat'"</f>
        <v>[Zone Name]+'-Tstat'</v>
      </c>
      <c r="D96" s="15" t="str">
        <f>"["&amp;$C$4&amp;"]"</f>
        <v>[Zone Name]</v>
      </c>
      <c r="E96" s="15" t="str">
        <f>C93</f>
        <v>'ControlTypeSch_SingleHtg’</v>
      </c>
      <c r="F96" s="15" t="str">
        <f>"'"&amp;B91&amp;"'"</f>
        <v>'ThermostatSetpoint:SingleHeating'</v>
      </c>
      <c r="G96" s="15" t="str">
        <f>C90</f>
        <v>'SingleHtgSetPt-'+[Dsn Space Htg Temp]</v>
      </c>
    </row>
    <row r="97" spans="1:7" s="16" customFormat="1" ht="12.75" x14ac:dyDescent="0.2">
      <c r="A97" s="16" t="s">
        <v>3</v>
      </c>
      <c r="B97" s="16" t="s">
        <v>27</v>
      </c>
      <c r="C97" s="16" t="s">
        <v>4</v>
      </c>
      <c r="D97" s="16" t="s">
        <v>13</v>
      </c>
      <c r="E97" s="16" t="s">
        <v>16</v>
      </c>
      <c r="F97" s="16" t="s">
        <v>20</v>
      </c>
      <c r="G97" s="16" t="s">
        <v>22</v>
      </c>
    </row>
    <row r="98" spans="1:7" s="18" customFormat="1" ht="12.75" x14ac:dyDescent="0.2"/>
    <row r="99" spans="1:7" s="18" customFormat="1" ht="36.75" customHeight="1" x14ac:dyDescent="0.2">
      <c r="B99" s="15" t="str">
        <f>"Templ "&amp;B96</f>
        <v>Templ Tstat_SingleHtg</v>
      </c>
      <c r="C99" s="15" t="str">
        <f>"["&amp;$D$4&amp;"]+' : '+["&amp;$E$4&amp;"]+'-Tstat'"</f>
        <v>[Zone TemplGroup]+' : '+[Zone TemplName]+'-Tstat'</v>
      </c>
      <c r="D99" s="15" t="str">
        <f>"'ZoneList7-TstatSingleHtg-'+["&amp;$D$4&amp;"]+' : '+["&amp;$E$4&amp;"]"</f>
        <v>'ZoneList7-TstatSingleHtg-'+[Zone TemplGroup]+' : '+[Zone TemplName]</v>
      </c>
      <c r="E99" s="18" t="str">
        <f>C93</f>
        <v>'ControlTypeSch_SingleHtg’</v>
      </c>
      <c r="F99" s="15" t="str">
        <f>"'"&amp;B91&amp;"'"</f>
        <v>'ThermostatSetpoint:SingleHeating'</v>
      </c>
      <c r="G99" s="15" t="str">
        <f>C90</f>
        <v>'SingleHtgSetPt-'+[Dsn Space Htg Temp]</v>
      </c>
    </row>
    <row r="100" spans="1:7" s="16" customFormat="1" ht="12.75" x14ac:dyDescent="0.2">
      <c r="A100" s="16" t="s">
        <v>3</v>
      </c>
      <c r="B100" s="16" t="s">
        <v>27</v>
      </c>
      <c r="C100" s="16" t="s">
        <v>4</v>
      </c>
      <c r="D100" s="16" t="s">
        <v>13</v>
      </c>
      <c r="E100" s="16" t="s">
        <v>16</v>
      </c>
      <c r="F100" s="16" t="s">
        <v>20</v>
      </c>
      <c r="G100" s="16" t="s">
        <v>22</v>
      </c>
    </row>
    <row r="101" spans="1:7" s="18" customFormat="1" ht="12.75" x14ac:dyDescent="0.2"/>
    <row r="102" spans="1:7" s="18" customFormat="1" ht="41.25" customHeight="1" x14ac:dyDescent="0.2">
      <c r="B102" s="18" t="s">
        <v>96</v>
      </c>
      <c r="C102" s="15" t="str">
        <f>"'"&amp;B102&amp;"-'+["&amp;$I$4&amp;"]+'C'"</f>
        <v>'SingleClgSetPt_Sch-'+[Dsn Space Clg Temp]+'C'</v>
      </c>
      <c r="D102" s="18" t="str">
        <f>"'Temperature'"</f>
        <v>'Temperature'</v>
      </c>
      <c r="E102" s="18" t="str">
        <f>"["&amp;$I$4&amp;"]"</f>
        <v>[Dsn Space Clg Temp]</v>
      </c>
    </row>
    <row r="103" spans="1:7" s="16" customFormat="1" ht="12.75" x14ac:dyDescent="0.2">
      <c r="A103" s="16" t="s">
        <v>3</v>
      </c>
      <c r="B103" s="16" t="s">
        <v>92</v>
      </c>
      <c r="C103" s="16" t="s">
        <v>4</v>
      </c>
      <c r="D103" s="16" t="s">
        <v>13</v>
      </c>
      <c r="E103" s="16" t="s">
        <v>5</v>
      </c>
    </row>
    <row r="104" spans="1:7" s="18" customFormat="1" ht="12.75" x14ac:dyDescent="0.2"/>
    <row r="105" spans="1:7" s="15" customFormat="1" ht="39.75" customHeight="1" x14ac:dyDescent="0.2">
      <c r="B105" s="15" t="s">
        <v>95</v>
      </c>
      <c r="C105" s="15" t="str">
        <f>"'SingleClgSetPt-'+["&amp;M4&amp;"]"</f>
        <v>'SingleClgSetPt-'+[Dsn Space Htg Temp]</v>
      </c>
      <c r="D105" s="15" t="str">
        <f>C102</f>
        <v>'SingleClgSetPt_Sch-'+[Dsn Space Clg Temp]+'C'</v>
      </c>
    </row>
    <row r="106" spans="1:7" s="16" customFormat="1" ht="12.75" x14ac:dyDescent="0.2">
      <c r="A106" s="16" t="s">
        <v>3</v>
      </c>
      <c r="B106" s="16" t="s">
        <v>14</v>
      </c>
      <c r="C106" s="16" t="s">
        <v>4</v>
      </c>
      <c r="D106" s="16" t="s">
        <v>13</v>
      </c>
    </row>
    <row r="107" spans="1:7" s="17" customFormat="1" ht="12.75" x14ac:dyDescent="0.2"/>
    <row r="108" spans="1:7" s="18" customFormat="1" ht="12.75" x14ac:dyDescent="0.2">
      <c r="B108" s="18" t="s">
        <v>105</v>
      </c>
      <c r="C108" s="15" t="str">
        <f>"'"&amp;B108&amp;"’"</f>
        <v>'ControlTypeSch_SingleClg’</v>
      </c>
      <c r="D108" s="18" t="str">
        <f>"'Control Type'"</f>
        <v>'Control Type'</v>
      </c>
      <c r="E108" s="18">
        <v>2</v>
      </c>
    </row>
    <row r="109" spans="1:7" s="16" customFormat="1" ht="12.75" x14ac:dyDescent="0.2">
      <c r="A109" s="16" t="s">
        <v>3</v>
      </c>
      <c r="B109" s="16" t="s">
        <v>92</v>
      </c>
      <c r="C109" s="16" t="s">
        <v>4</v>
      </c>
      <c r="D109" s="16" t="s">
        <v>13</v>
      </c>
      <c r="E109" s="16" t="s">
        <v>5</v>
      </c>
    </row>
    <row r="110" spans="1:7" s="18" customFormat="1" ht="12.75" x14ac:dyDescent="0.2"/>
    <row r="111" spans="1:7" s="15" customFormat="1" ht="49.5" customHeight="1" x14ac:dyDescent="0.2">
      <c r="B111" s="15" t="s">
        <v>100</v>
      </c>
      <c r="C111" s="15" t="str">
        <f>"["&amp;$C$4&amp;"]+'-Tstat'"</f>
        <v>[Zone Name]+'-Tstat'</v>
      </c>
      <c r="D111" s="15" t="str">
        <f>"["&amp;$C$4&amp;"]"</f>
        <v>[Zone Name]</v>
      </c>
      <c r="E111" s="15" t="str">
        <f>C108</f>
        <v>'ControlTypeSch_SingleClg’</v>
      </c>
      <c r="F111" s="15" t="str">
        <f>"'"&amp;B106&amp;"'"</f>
        <v>'ThermostatSetpoint:SingleCooling'</v>
      </c>
      <c r="G111" s="15" t="str">
        <f>C105</f>
        <v>'SingleClgSetPt-'+[Dsn Space Htg Temp]</v>
      </c>
    </row>
    <row r="112" spans="1:7" s="16" customFormat="1" ht="12.75" x14ac:dyDescent="0.2">
      <c r="A112" s="16" t="s">
        <v>3</v>
      </c>
      <c r="B112" s="16" t="s">
        <v>27</v>
      </c>
      <c r="C112" s="16" t="s">
        <v>4</v>
      </c>
      <c r="D112" s="16" t="s">
        <v>13</v>
      </c>
      <c r="E112" s="16" t="s">
        <v>16</v>
      </c>
      <c r="F112" s="16" t="s">
        <v>20</v>
      </c>
      <c r="G112" s="16" t="s">
        <v>22</v>
      </c>
    </row>
    <row r="113" spans="1:7" s="17" customFormat="1" ht="12.75" x14ac:dyDescent="0.2"/>
    <row r="114" spans="1:7" s="18" customFormat="1" ht="63.75" x14ac:dyDescent="0.2">
      <c r="B114" s="15" t="str">
        <f>"Templ "&amp;B111</f>
        <v>Templ Tstat_SingleClg</v>
      </c>
      <c r="C114" s="15" t="str">
        <f>"["&amp;$D$4&amp;"]+' : '+["&amp;$E$4&amp;"]+'-Tstat'"</f>
        <v>[Zone TemplGroup]+' : '+[Zone TemplName]+'-Tstat'</v>
      </c>
      <c r="D114" s="15" t="str">
        <f>"'ZoneList8-TstatSingleClg-'+["&amp;$D$4&amp;"]+' : '+["&amp;$E$4&amp;"]"</f>
        <v>'ZoneList8-TstatSingleClg-'+[Zone TemplGroup]+' : '+[Zone TemplName]</v>
      </c>
      <c r="E114" s="15" t="str">
        <f>C108</f>
        <v>'ControlTypeSch_SingleClg’</v>
      </c>
      <c r="F114" s="15" t="str">
        <f>"'"&amp;B106&amp;"'"</f>
        <v>'ThermostatSetpoint:SingleCooling'</v>
      </c>
      <c r="G114" s="15" t="str">
        <f>C105</f>
        <v>'SingleClgSetPt-'+[Dsn Space Htg Temp]</v>
      </c>
    </row>
    <row r="115" spans="1:7" s="16" customFormat="1" ht="12.75" x14ac:dyDescent="0.2">
      <c r="A115" s="16" t="s">
        <v>3</v>
      </c>
      <c r="B115" s="16" t="s">
        <v>27</v>
      </c>
      <c r="C115" s="16" t="s">
        <v>4</v>
      </c>
      <c r="D115" s="16" t="s">
        <v>13</v>
      </c>
      <c r="E115" s="16" t="s">
        <v>16</v>
      </c>
      <c r="F115" s="16" t="s">
        <v>20</v>
      </c>
      <c r="G115" s="16" t="s">
        <v>22</v>
      </c>
    </row>
    <row r="116" spans="1:7" s="18" customFormat="1" ht="12.75" x14ac:dyDescent="0.2"/>
    <row r="117" spans="1:7" s="15" customFormat="1" ht="39" customHeight="1" x14ac:dyDescent="0.2">
      <c r="C117" s="15" t="str">
        <f>"'DualSetPt-'+["&amp;M4&amp;"]"</f>
        <v>'DualSetPt-'+[Dsn Space Htg Temp]</v>
      </c>
      <c r="D117" s="15" t="str">
        <f>C87</f>
        <v>'SingleHtgSetPt_Sch-'+[Dsn Space Htg Temp]+'C'</v>
      </c>
      <c r="E117" s="15" t="str">
        <f>C102</f>
        <v>'SingleClgSetPt_Sch-'+[Dsn Space Clg Temp]+'C'</v>
      </c>
    </row>
    <row r="118" spans="1:7" s="16" customFormat="1" ht="12.75" x14ac:dyDescent="0.2">
      <c r="A118" s="16" t="s">
        <v>3</v>
      </c>
      <c r="B118" s="16" t="s">
        <v>15</v>
      </c>
      <c r="C118" s="16" t="s">
        <v>4</v>
      </c>
      <c r="D118" s="16" t="s">
        <v>13</v>
      </c>
      <c r="E118" s="16" t="s">
        <v>16</v>
      </c>
    </row>
    <row r="119" spans="1:7" s="17" customFormat="1" ht="12.75" x14ac:dyDescent="0.2"/>
    <row r="120" spans="1:7" s="18" customFormat="1" ht="12.75" x14ac:dyDescent="0.2">
      <c r="B120" s="18" t="s">
        <v>106</v>
      </c>
      <c r="C120" s="15" t="str">
        <f>"'"&amp;B120&amp;"’"</f>
        <v>'ControlTypeSch_DualSetPt’</v>
      </c>
      <c r="D120" s="18" t="str">
        <f>"'TStat Control Code'"</f>
        <v>'TStat Control Code'</v>
      </c>
      <c r="E120" s="18">
        <v>4</v>
      </c>
    </row>
    <row r="121" spans="1:7" s="16" customFormat="1" ht="12.75" x14ac:dyDescent="0.2">
      <c r="A121" s="16" t="s">
        <v>3</v>
      </c>
      <c r="B121" s="16" t="s">
        <v>92</v>
      </c>
      <c r="C121" s="16" t="s">
        <v>4</v>
      </c>
      <c r="D121" s="16" t="s">
        <v>13</v>
      </c>
      <c r="E121" s="16" t="s">
        <v>5</v>
      </c>
    </row>
    <row r="122" spans="1:7" s="18" customFormat="1" ht="12.75" x14ac:dyDescent="0.2"/>
    <row r="123" spans="1:7" s="15" customFormat="1" ht="49.5" customHeight="1" x14ac:dyDescent="0.2">
      <c r="B123" s="15" t="s">
        <v>101</v>
      </c>
      <c r="C123" s="15" t="str">
        <f>"["&amp;$C$4&amp;"]+'-Tstat'"</f>
        <v>[Zone Name]+'-Tstat'</v>
      </c>
      <c r="D123" s="15" t="str">
        <f>"["&amp;$C$4&amp;"]"</f>
        <v>[Zone Name]</v>
      </c>
      <c r="E123" s="15" t="str">
        <f>C120</f>
        <v>'ControlTypeSch_DualSetPt’</v>
      </c>
      <c r="F123" s="15" t="str">
        <f>"'"&amp;B118&amp;"'"</f>
        <v>'ThermostatSetpoint:DualSetpoint'</v>
      </c>
      <c r="G123" s="15" t="str">
        <f>C117</f>
        <v>'DualSetPt-'+[Dsn Space Htg Temp]</v>
      </c>
    </row>
    <row r="124" spans="1:7" s="16" customFormat="1" ht="12.75" x14ac:dyDescent="0.2">
      <c r="A124" s="16" t="s">
        <v>3</v>
      </c>
      <c r="B124" s="16" t="s">
        <v>27</v>
      </c>
      <c r="C124" s="16" t="s">
        <v>4</v>
      </c>
      <c r="D124" s="16" t="s">
        <v>13</v>
      </c>
      <c r="E124" s="16" t="s">
        <v>16</v>
      </c>
      <c r="F124" s="16" t="s">
        <v>20</v>
      </c>
      <c r="G124" s="16" t="s">
        <v>22</v>
      </c>
    </row>
    <row r="125" spans="1:7" s="17" customFormat="1" ht="12.75" x14ac:dyDescent="0.2"/>
    <row r="126" spans="1:7" s="18" customFormat="1" ht="63.75" x14ac:dyDescent="0.2">
      <c r="B126" s="15" t="str">
        <f>"Templ "&amp;B123</f>
        <v>Templ Tstat_DualSetPt</v>
      </c>
      <c r="C126" s="15" t="str">
        <f>"["&amp;$D$4&amp;"]+' : '+["&amp;$E$4&amp;"]+'-Tstat'"</f>
        <v>[Zone TemplGroup]+' : '+[Zone TemplName]+'-Tstat'</v>
      </c>
      <c r="D126" s="15" t="str">
        <f>"'ZoneList9-TstatDualSetPt-'+["&amp;$D$4&amp;"]+' : '+["&amp;$E$4&amp;"]"</f>
        <v>'ZoneList9-TstatDualSetPt-'+[Zone TemplGroup]+' : '+[Zone TemplName]</v>
      </c>
      <c r="E126" s="15" t="str">
        <f>C120</f>
        <v>'ControlTypeSch_DualSetPt’</v>
      </c>
      <c r="F126" s="15" t="str">
        <f>"'"&amp;B118&amp;"'"</f>
        <v>'ThermostatSetpoint:DualSetpoint'</v>
      </c>
      <c r="G126" s="15" t="str">
        <f>C117</f>
        <v>'DualSetPt-'+[Dsn Space Htg Temp]</v>
      </c>
    </row>
    <row r="127" spans="1:7" s="16" customFormat="1" ht="12.75" x14ac:dyDescent="0.2">
      <c r="A127" s="16" t="s">
        <v>3</v>
      </c>
      <c r="B127" s="16" t="s">
        <v>27</v>
      </c>
      <c r="C127" s="16" t="s">
        <v>4</v>
      </c>
      <c r="D127" s="16" t="s">
        <v>13</v>
      </c>
      <c r="E127" s="16" t="s">
        <v>16</v>
      </c>
      <c r="F127" s="16" t="s">
        <v>20</v>
      </c>
      <c r="G127" s="16" t="s">
        <v>22</v>
      </c>
    </row>
    <row r="128" spans="1:7" s="11" customFormat="1" ht="12.75" x14ac:dyDescent="0.2"/>
    <row r="129" spans="1:28" s="7" customFormat="1" ht="25.5" x14ac:dyDescent="0.2">
      <c r="B129" s="7" t="s">
        <v>97</v>
      </c>
      <c r="C129" s="3" t="str">
        <f>"'"&amp;B129&amp;"-'+["&amp;$O$4&amp;"]+'%'"</f>
        <v>'MinRelHumSetSch-'+[Dsn Space Htg RH]+'%'</v>
      </c>
      <c r="D129" s="3" t="str">
        <f>"'Humidity'"</f>
        <v>'Humidity'</v>
      </c>
      <c r="E129" s="3" t="str">
        <f>"["&amp;$O$4&amp;"]"</f>
        <v>[Dsn Space Htg RH]</v>
      </c>
    </row>
    <row r="130" spans="1:28" s="4" customFormat="1" ht="12.75" x14ac:dyDescent="0.2">
      <c r="A130" s="4" t="s">
        <v>3</v>
      </c>
      <c r="B130" s="4" t="s">
        <v>92</v>
      </c>
      <c r="C130" s="4" t="s">
        <v>4</v>
      </c>
      <c r="D130" s="4" t="s">
        <v>13</v>
      </c>
      <c r="E130" s="4" t="s">
        <v>5</v>
      </c>
    </row>
    <row r="131" spans="1:28" s="11" customFormat="1" ht="12.75" x14ac:dyDescent="0.2"/>
    <row r="132" spans="1:28" s="7" customFormat="1" ht="25.5" x14ac:dyDescent="0.2">
      <c r="B132" s="7" t="s">
        <v>98</v>
      </c>
      <c r="C132" s="3" t="str">
        <f>"'"&amp;B132&amp;"-'+["&amp;$K$4&amp;"]+'%'"</f>
        <v>'MaxRelHumSetSch-'+[Dsn Space Clg RH]+'%'</v>
      </c>
      <c r="D132" s="3" t="str">
        <f>"'Humidity'"</f>
        <v>'Humidity'</v>
      </c>
      <c r="E132" s="3" t="str">
        <f>"["&amp;$K$4&amp;"]"</f>
        <v>[Dsn Space Clg RH]</v>
      </c>
    </row>
    <row r="133" spans="1:28" s="4" customFormat="1" ht="12.75" x14ac:dyDescent="0.2">
      <c r="A133" s="4" t="s">
        <v>3</v>
      </c>
      <c r="B133" s="4" t="s">
        <v>92</v>
      </c>
      <c r="C133" s="4" t="s">
        <v>4</v>
      </c>
      <c r="D133" s="4" t="s">
        <v>13</v>
      </c>
      <c r="E133" s="4" t="s">
        <v>5</v>
      </c>
    </row>
    <row r="134" spans="1:28" s="7" customFormat="1" ht="12.75" x14ac:dyDescent="0.2"/>
    <row r="135" spans="1:28" s="3" customFormat="1" ht="42.75" customHeight="1" x14ac:dyDescent="0.2">
      <c r="C135" s="3" t="str">
        <f>"["&amp;$C$4&amp;"]+'-Humidistat'"</f>
        <v>[Zone Name]+'-Humidistat'</v>
      </c>
      <c r="D135" s="3" t="str">
        <f>"["&amp;C4&amp;"]"</f>
        <v>[Zone Name]</v>
      </c>
      <c r="E135" s="3" t="str">
        <f>"[Dsn Space Htg RH]?'MinRelHumSetSch-'+[Dsn Space Htg RH]+'%':''"</f>
        <v>[Dsn Space Htg RH]?'MinRelHumSetSch-'+[Dsn Space Htg RH]+'%':''</v>
      </c>
      <c r="F135" s="3" t="str">
        <f>"[Dsn Space Clg RH]?'MaxRelHumSetSch-'+[Dsn Space Clg RH]+'%':''"</f>
        <v>[Dsn Space Clg RH]?'MaxRelHumSetSch-'+[Dsn Space Clg RH]+'%':''</v>
      </c>
    </row>
    <row r="136" spans="1:28" s="4" customFormat="1" ht="12.75" x14ac:dyDescent="0.2">
      <c r="A136" s="4" t="s">
        <v>3</v>
      </c>
      <c r="B136" s="4" t="s">
        <v>28</v>
      </c>
      <c r="C136" s="4" t="s">
        <v>4</v>
      </c>
      <c r="D136" s="4" t="s">
        <v>13</v>
      </c>
      <c r="E136" s="4" t="s">
        <v>16</v>
      </c>
      <c r="F136" s="4" t="s">
        <v>20</v>
      </c>
    </row>
    <row r="137" spans="1:28" s="7" customFormat="1" ht="12.75" x14ac:dyDescent="0.2"/>
    <row r="138" spans="1:28" s="3" customFormat="1" ht="42.75" customHeight="1" x14ac:dyDescent="0.2">
      <c r="C138" s="3" t="str">
        <f>"["&amp;$C$4&amp;"]+'-IdealLoadsAirSystem'"</f>
        <v>[Zone Name]+'-IdealLoadsAirSystem'</v>
      </c>
      <c r="D138" s="3" t="str">
        <f>"''"</f>
        <v>''</v>
      </c>
      <c r="E138" s="3" t="str">
        <f>"["&amp;$C$4&amp;"]+'-Air Supply Node'"</f>
        <v>[Zone Name]+'-Air Supply Node'</v>
      </c>
      <c r="F138" s="3" t="str">
        <f>"["&amp;$C$4&amp;"]+'-Air Exhaust Node'"</f>
        <v>[Zone Name]+'-Air Exhaust Node'</v>
      </c>
      <c r="G138" s="3" t="str">
        <f>"["&amp;$U$4&amp;"]"</f>
        <v>[Htng SAT]</v>
      </c>
      <c r="H138" s="3" t="str">
        <f>"["&amp;$Q$4&amp;"]"</f>
        <v>[Clng SAT]</v>
      </c>
      <c r="I138" s="3" t="str">
        <f>"["&amp;$W$4&amp;"]"</f>
        <v>[Htng HR]</v>
      </c>
      <c r="J138" s="3" t="str">
        <f>"["&amp;$S$4&amp;"]"</f>
        <v>[Clng HR]</v>
      </c>
      <c r="K138" s="3" t="str">
        <f>"'NoLimit'"</f>
        <v>'NoLimit'</v>
      </c>
      <c r="L138" s="3" t="str">
        <f>"''"</f>
        <v>''</v>
      </c>
      <c r="M138" s="3" t="str">
        <f>"''"</f>
        <v>''</v>
      </c>
      <c r="N138" s="3" t="str">
        <f>"'NoLimit'"</f>
        <v>'NoLimit'</v>
      </c>
      <c r="O138" s="3" t="str">
        <f t="shared" ref="O138:R138" si="0">"''"</f>
        <v>''</v>
      </c>
      <c r="P138" s="3" t="str">
        <f t="shared" si="0"/>
        <v>''</v>
      </c>
      <c r="Q138" s="3" t="str">
        <f t="shared" si="0"/>
        <v>''</v>
      </c>
      <c r="R138" s="3" t="str">
        <f t="shared" si="0"/>
        <v>''</v>
      </c>
      <c r="S138" s="3" t="str">
        <f>"'Humidistat'"</f>
        <v>'Humidistat'</v>
      </c>
      <c r="T138" s="3" t="str">
        <f>"''"</f>
        <v>''</v>
      </c>
      <c r="U138" s="3" t="str">
        <f>"'Humidistat'"</f>
        <v>'Humidistat'</v>
      </c>
      <c r="V138" s="3" t="str">
        <f>C75</f>
        <v>[Zone Name]+'-DsnSpec.OA'</v>
      </c>
      <c r="W138" s="3" t="str">
        <f t="shared" ref="W138" si="1">"''"</f>
        <v>''</v>
      </c>
      <c r="X138" s="3" t="str">
        <f>"'None'"</f>
        <v>'None'</v>
      </c>
      <c r="Y138" s="3" t="str">
        <f>"'NoEconomizer'"</f>
        <v>'NoEconomizer'</v>
      </c>
      <c r="Z138" s="3" t="str">
        <f>"'None'"</f>
        <v>'None'</v>
      </c>
      <c r="AA138" s="3">
        <v>0.7</v>
      </c>
      <c r="AB138" s="3">
        <v>0.65</v>
      </c>
    </row>
    <row r="139" spans="1:28" s="4" customFormat="1" ht="12.75" x14ac:dyDescent="0.2">
      <c r="A139" s="4" t="s">
        <v>3</v>
      </c>
      <c r="B139" s="4" t="s">
        <v>126</v>
      </c>
      <c r="C139" s="4" t="s">
        <v>4</v>
      </c>
      <c r="D139" s="4" t="s">
        <v>13</v>
      </c>
      <c r="E139" s="4" t="s">
        <v>16</v>
      </c>
      <c r="F139" s="4" t="s">
        <v>20</v>
      </c>
      <c r="G139" s="4" t="s">
        <v>5</v>
      </c>
      <c r="H139" s="4" t="s">
        <v>6</v>
      </c>
      <c r="I139" s="4" t="s">
        <v>7</v>
      </c>
      <c r="J139" s="4" t="s">
        <v>8</v>
      </c>
      <c r="K139" s="4" t="s">
        <v>22</v>
      </c>
      <c r="L139" s="4" t="s">
        <v>9</v>
      </c>
      <c r="M139" s="4" t="s">
        <v>10</v>
      </c>
      <c r="N139" s="4" t="s">
        <v>113</v>
      </c>
      <c r="O139" s="4" t="s">
        <v>11</v>
      </c>
      <c r="P139" s="4" t="s">
        <v>26</v>
      </c>
      <c r="Q139" s="4" t="s">
        <v>29</v>
      </c>
      <c r="R139" s="4" t="s">
        <v>118</v>
      </c>
      <c r="S139" s="4" t="s">
        <v>119</v>
      </c>
      <c r="T139" s="4" t="s">
        <v>109</v>
      </c>
      <c r="U139" s="4" t="s">
        <v>120</v>
      </c>
      <c r="V139" s="4" t="s">
        <v>121</v>
      </c>
      <c r="W139" s="4" t="s">
        <v>122</v>
      </c>
      <c r="X139" s="4" t="s">
        <v>123</v>
      </c>
      <c r="Y139" s="4" t="s">
        <v>124</v>
      </c>
      <c r="Z139" s="4" t="s">
        <v>125</v>
      </c>
      <c r="AA139" s="4" t="s">
        <v>110</v>
      </c>
      <c r="AB139" s="4" t="s">
        <v>111</v>
      </c>
    </row>
    <row r="140" spans="1:28" s="7" customFormat="1" ht="12.75" x14ac:dyDescent="0.2"/>
    <row r="141" spans="1:28" s="3" customFormat="1" ht="42.75" customHeight="1" x14ac:dyDescent="0.2">
      <c r="C141" s="3" t="str">
        <f>"["&amp;$C$4&amp;"]+'-Primary Air Terminal'"</f>
        <v>[Zone Name]+'-Primary Air Terminal'</v>
      </c>
      <c r="D141" s="3" t="str">
        <f>"["&amp;$C$4&amp;"]+'-Primary Air Terminal Discharge Node'"</f>
        <v>[Zone Name]+'-Primary Air Terminal Discharge Node'</v>
      </c>
      <c r="E141" s="3" t="str">
        <f>"'ZoneHVAC:IdealLoadsAirSystem'"</f>
        <v>'ZoneHVAC:IdealLoadsAirSystem'</v>
      </c>
      <c r="F141" s="3" t="str">
        <f>"["&amp;$C$4&amp;"]+'-IdealLoadsAirSystem'"</f>
        <v>[Zone Name]+'-IdealLoadsAirSystem'</v>
      </c>
    </row>
    <row r="142" spans="1:28" s="4" customFormat="1" ht="12.75" x14ac:dyDescent="0.2">
      <c r="A142" s="4" t="s">
        <v>3</v>
      </c>
      <c r="B142" s="4" t="s">
        <v>127</v>
      </c>
      <c r="C142" s="4" t="s">
        <v>4</v>
      </c>
      <c r="D142" s="4" t="s">
        <v>13</v>
      </c>
      <c r="E142" s="4" t="s">
        <v>16</v>
      </c>
      <c r="F142" s="4" t="s">
        <v>20</v>
      </c>
    </row>
    <row r="143" spans="1:28" s="7" customFormat="1" ht="12.75" x14ac:dyDescent="0.2"/>
    <row r="144" spans="1:28" s="3" customFormat="1" ht="42.75" customHeight="1" x14ac:dyDescent="0.2">
      <c r="C144" s="3" t="str">
        <f>"["&amp;$C$4&amp;"]+'-ZoneHVACEquipment'"</f>
        <v>[Zone Name]+'-ZoneHVACEquipment'</v>
      </c>
      <c r="D144" s="3" t="str">
        <f>"'ZoneHVAC:IdealLoadsAirSystem'"</f>
        <v>'ZoneHVAC:IdealLoadsAirSystem'</v>
      </c>
      <c r="E144" s="3" t="str">
        <f>C138</f>
        <v>[Zone Name]+'-IdealLoadsAirSystem'</v>
      </c>
      <c r="F144" s="3">
        <v>1</v>
      </c>
      <c r="G144" s="3">
        <v>1</v>
      </c>
    </row>
    <row r="145" spans="1:8" s="4" customFormat="1" ht="12.75" x14ac:dyDescent="0.2">
      <c r="A145" s="4" t="s">
        <v>3</v>
      </c>
      <c r="B145" s="4" t="s">
        <v>128</v>
      </c>
      <c r="C145" s="4" t="s">
        <v>4</v>
      </c>
      <c r="D145" s="4" t="s">
        <v>13</v>
      </c>
      <c r="E145" s="4" t="s">
        <v>16</v>
      </c>
      <c r="F145" s="4" t="s">
        <v>5</v>
      </c>
      <c r="G145" s="4" t="s">
        <v>6</v>
      </c>
    </row>
    <row r="146" spans="1:8" s="7" customFormat="1" ht="12.75" x14ac:dyDescent="0.2"/>
    <row r="147" spans="1:8" s="3" customFormat="1" ht="42.75" customHeight="1" x14ac:dyDescent="0.2">
      <c r="C147" s="3" t="str">
        <f>"["&amp;$C$4&amp;"]"</f>
        <v>[Zone Name]</v>
      </c>
      <c r="D147" s="3" t="str">
        <f>C144</f>
        <v>[Zone Name]+'-ZoneHVACEquipment'</v>
      </c>
      <c r="E147" s="3" t="str">
        <f>C150</f>
        <v>[Zone Name]+'-Air Supply Node'</v>
      </c>
      <c r="F147" s="3" t="str">
        <f>C153</f>
        <v>[Zone Name]+'-Air Exhaust Node'</v>
      </c>
      <c r="G147" s="3" t="str">
        <f>"["&amp;$C$4&amp;"]+'-HVAC Primary Air and HVAC Equipment Node'"</f>
        <v>[Zone Name]+'-HVAC Primary Air and HVAC Equipment Node'</v>
      </c>
      <c r="H147" s="3" t="str">
        <f>"["&amp;$C$4&amp;"]+'-R/A Duct Connection Node'"</f>
        <v>[Zone Name]+'-R/A Duct Connection Node'</v>
      </c>
    </row>
    <row r="148" spans="1:8" s="4" customFormat="1" ht="12.75" x14ac:dyDescent="0.2">
      <c r="A148" s="4" t="s">
        <v>3</v>
      </c>
      <c r="B148" s="4" t="s">
        <v>129</v>
      </c>
      <c r="C148" s="4" t="s">
        <v>4</v>
      </c>
      <c r="D148" s="4" t="s">
        <v>13</v>
      </c>
      <c r="E148" s="4" t="s">
        <v>16</v>
      </c>
      <c r="F148" s="4" t="s">
        <v>20</v>
      </c>
      <c r="G148" s="4" t="s">
        <v>22</v>
      </c>
      <c r="H148" s="4" t="s">
        <v>113</v>
      </c>
    </row>
    <row r="149" spans="1:8" s="7" customFormat="1" ht="12.75" x14ac:dyDescent="0.2"/>
    <row r="150" spans="1:8" s="3" customFormat="1" ht="42.75" customHeight="1" x14ac:dyDescent="0.2">
      <c r="B150" s="3" t="str">
        <f>B151&amp;"_SupplyAirNode"</f>
        <v>NodeList_SupplyAirNode</v>
      </c>
      <c r="C150" s="3" t="str">
        <f>"["&amp;$C$4&amp;"]+'-Air Supply Node'"</f>
        <v>[Zone Name]+'-Air Supply Node'</v>
      </c>
      <c r="D150" s="3" t="str">
        <f>"["&amp;$C$4&amp;"]+'-Primary Air Terminal Discharge Node'"</f>
        <v>[Zone Name]+'-Primary Air Terminal Discharge Node'</v>
      </c>
    </row>
    <row r="151" spans="1:8" s="4" customFormat="1" ht="12.75" x14ac:dyDescent="0.2">
      <c r="A151" s="4" t="s">
        <v>3</v>
      </c>
      <c r="B151" s="4" t="s">
        <v>130</v>
      </c>
      <c r="C151" s="4" t="s">
        <v>4</v>
      </c>
      <c r="D151" s="4" t="s">
        <v>13</v>
      </c>
    </row>
    <row r="152" spans="1:8" s="7" customFormat="1" ht="12.75" x14ac:dyDescent="0.2"/>
    <row r="153" spans="1:8" s="3" customFormat="1" ht="42.75" customHeight="1" x14ac:dyDescent="0.2">
      <c r="B153" s="3" t="str">
        <f>B154&amp;"_ExhaustAirNode"</f>
        <v>NodeList_ExhaustAirNode</v>
      </c>
      <c r="C153" s="3" t="str">
        <f>"["&amp;$C$4&amp;"]+'-Air Exhaust Node'"</f>
        <v>[Zone Name]+'-Air Exhaust Node'</v>
      </c>
      <c r="D153" s="3" t="str">
        <f>"["&amp;$C$4&amp;"]+'-Zone Exhaust Node'"</f>
        <v>[Zone Name]+'-Zone Exhaust Node'</v>
      </c>
    </row>
    <row r="154" spans="1:8" s="4" customFormat="1" ht="12.75" x14ac:dyDescent="0.2">
      <c r="A154" s="4" t="s">
        <v>3</v>
      </c>
      <c r="B154" s="4" t="s">
        <v>130</v>
      </c>
      <c r="C154" s="4" t="s">
        <v>4</v>
      </c>
      <c r="D154" s="4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mlee</dc:creator>
  <cp:lastModifiedBy>luk</cp:lastModifiedBy>
  <dcterms:created xsi:type="dcterms:W3CDTF">2013-02-15T15:12:05Z</dcterms:created>
  <dcterms:modified xsi:type="dcterms:W3CDTF">2013-05-08T13:01:01Z</dcterms:modified>
</cp:coreProperties>
</file>